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30" windowWidth="14400" windowHeight="8955" activeTab="2"/>
  </bookViews>
  <sheets>
    <sheet name="Čerpanie" sheetId="1" r:id="rId1"/>
    <sheet name="graf MP" sheetId="2" r:id="rId2"/>
    <sheet name="graf TaS" sheetId="3" r:id="rId3"/>
    <sheet name="hárok" sheetId="4" r:id="rId4"/>
  </sheets>
  <definedNames>
    <definedName name="_xlnm.Print_Area" localSheetId="0">'Čerpanie'!$A$3:$N$70</definedName>
    <definedName name="_xlnm.Print_Area" localSheetId="3">'hárok'!$F$10:$K$53</definedName>
  </definedNames>
  <calcPr fullCalcOnLoad="1"/>
</workbook>
</file>

<file path=xl/sharedStrings.xml><?xml version="1.0" encoding="utf-8"?>
<sst xmlns="http://schemas.openxmlformats.org/spreadsheetml/2006/main" count="140" uniqueCount="95">
  <si>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</si>
  <si>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</si>
  <si>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</si>
  <si>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</si>
  <si>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</si>
  <si>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</si>
  <si>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</si>
  <si>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</si>
  <si>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</si>
  <si>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</si>
  <si>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</si>
  <si>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</si>
  <si>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</si>
  <si>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</si>
  <si>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</si>
  <si>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</si>
  <si>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</si>
  <si>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</si>
  <si>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</si>
  <si>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</si>
  <si>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</si>
  <si>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</si>
  <si>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</si>
  <si>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</si>
  <si>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</si>
  <si>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</si>
  <si>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</si>
  <si>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</si>
  <si>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</si>
  <si>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>Podprogram 07711-0942</t>
  </si>
  <si>
    <t>07711 - mzdy</t>
  </si>
  <si>
    <t>07711- odvody z miezd</t>
  </si>
  <si>
    <t>07711- TaS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</si>
  <si>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</si>
  <si>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</si>
  <si>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</si>
  <si>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</si>
  <si>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</si>
  <si>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</si>
  <si>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</si>
  <si>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</si>
  <si>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</si>
  <si>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07713 - rozvoj vŠ</t>
  </si>
  <si>
    <t>Podprogram 07715-sociálne služby</t>
  </si>
  <si>
    <t>07715 01-sociálne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</si>
  <si>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</si>
  <si>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</si>
  <si>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</si>
  <si>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</si>
  <si>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</si>
  <si>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</si>
  <si>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</si>
  <si>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</si>
  <si>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</si>
  <si>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0771201-účelové štip. DrPGŠ</t>
  </si>
  <si>
    <t>0771201-neúčelové štip.DrPGŠ</t>
  </si>
  <si>
    <t>0771201-mladí výskumníci</t>
  </si>
  <si>
    <t>zostatok</t>
  </si>
  <si>
    <t>0771502-motivačné štipendiá pre vybrané ŠO</t>
  </si>
  <si>
    <t xml:space="preserve">0771502-motivačné štipendiá </t>
  </si>
  <si>
    <t>% čerpania</t>
  </si>
  <si>
    <t>0771201-fond obnovy</t>
  </si>
  <si>
    <t xml:space="preserve">                  </t>
  </si>
  <si>
    <t>rozdiel</t>
  </si>
  <si>
    <t>stav účtu - rozdiel= peniaze na ceste</t>
  </si>
  <si>
    <t>SPOLU UD</t>
  </si>
  <si>
    <t>ÚPRAVY</t>
  </si>
  <si>
    <t>INTERNÝ PRESUN</t>
  </si>
  <si>
    <t>Fyzicky pridelená dot.</t>
  </si>
  <si>
    <t>0771201- postdoktorand R-STU /610+ 620+630/</t>
  </si>
  <si>
    <t>*</t>
  </si>
  <si>
    <t>0771201 - podpora tímov H2020</t>
  </si>
  <si>
    <t>0771201 - UVP</t>
  </si>
  <si>
    <t>SD 2016</t>
  </si>
  <si>
    <t>Vypracovala: Nováková</t>
  </si>
  <si>
    <t>v tom - mzdy</t>
  </si>
  <si>
    <t xml:space="preserve">          - odvody</t>
  </si>
  <si>
    <t xml:space="preserve">          - TaS</t>
  </si>
  <si>
    <t>0771201 - Formula refundácia</t>
  </si>
  <si>
    <t>0771201 - fond rektora</t>
  </si>
  <si>
    <t xml:space="preserve">Čerpanie dotácie pridelenej v roku 2017 </t>
  </si>
  <si>
    <t>0771201-presun,smer.rektora- mzdy</t>
  </si>
  <si>
    <t>0771201-presun,smer.rektora - odvody</t>
  </si>
  <si>
    <t>vzájomné výkony: FA : 10.885,00 + 3.831,00</t>
  </si>
  <si>
    <t xml:space="preserve">                            FCHPT: -4.260,00 + -1.499,00</t>
  </si>
  <si>
    <t>SvF realizované v 2016 : -4.000,00 + - 1.408,00</t>
  </si>
  <si>
    <t>Dotácia 1-09.2017</t>
  </si>
  <si>
    <t>čerpanie 01-09.2017</t>
  </si>
  <si>
    <t>stav účtu 30.09.2017</t>
  </si>
  <si>
    <t>Vypracovala: Nováková, 06.10.2017</t>
  </si>
  <si>
    <t>čerpanie k 30.09.2017</t>
  </si>
  <si>
    <t>Poznámka: refundované mzdy k 30.09.2017</t>
  </si>
  <si>
    <t xml:space="preserve">                      refundované odvody k 30.09.2017</t>
  </si>
  <si>
    <t xml:space="preserve">                          špecifické potreby</t>
  </si>
  <si>
    <t xml:space="preserve">                          fond obnovy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</si>
</sst>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  <numFmt numFmtId="181" formatCode="0.0%"/>
    <numFmt numFmtId="182" formatCode="0.000"/>
    <numFmt numFmtId="183" formatCode="0.0000"/>
    <numFmt numFmtId="184" formatCode="_-* #,##0\ _S_k_-;\-* #,##0\ _S_k_-;_-* &quot;-&quot;??\ _S_k_-;_-@_-"/>
    <numFmt numFmtId="185" formatCode="_-* #,##0.0\ _S_k_-;\-* #,##0.0\ _S_k_-;_-* &quot;-&quot;??\ _S_k_-;_-@_-"/>
    <numFmt numFmtId="186" formatCode="_-* #,##0.000\ _S_k_-;\-* #,##0.000\ _S_k_-;_-* &quot;-&quot;??\ _S_k_-;_-@_-"/>
    <numFmt numFmtId="187" formatCode="_-* #,##0.0000\ _S_k_-;\-* #,##0.0000\ _S_k_-;_-* &quot;-&quot;??\ _S_k_-;_-@_-"/>
    <numFmt numFmtId="188" formatCode="[$-41B]d\.\ mmmm\ yyyy"/>
    <numFmt numFmtId="189" formatCode="0.0000000"/>
    <numFmt numFmtId="190" formatCode="0.000000"/>
    <numFmt numFmtId="191" formatCode="0.00000"/>
    <numFmt numFmtId="192" formatCode="#,##0.0"/>
    <numFmt numFmtId="193" formatCode="#,##0.00_ ;\-#,##0.00\ "/>
    <numFmt numFmtId="194" formatCode="_-* #\ ##0.00\ _S_k_-;\-* #\ ##0.00\ _S_k_-;_-* &quot;-&quot;??\ _S_k_-;_-@_-"/>
  </numFmts>
  <fonts count="5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179" fontId="0" fillId="0" borderId="0" xfId="33" applyFont="1" applyAlignment="1">
      <alignment/>
    </xf>
    <xf numFmtId="179" fontId="0" fillId="0" borderId="0" xfId="0" applyNumberFormat="1" applyAlignment="1">
      <alignment/>
    </xf>
    <xf numFmtId="179" fontId="3" fillId="0" borderId="0" xfId="33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84" fontId="4" fillId="0" borderId="0" xfId="33" applyNumberFormat="1" applyFont="1" applyAlignment="1">
      <alignment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79" fontId="0" fillId="0" borderId="0" xfId="33" applyNumberFormat="1" applyFont="1" applyAlignment="1">
      <alignment/>
    </xf>
    <xf numFmtId="179" fontId="0" fillId="0" borderId="0" xfId="33" applyNumberFormat="1" applyFont="1" applyAlignment="1">
      <alignment/>
    </xf>
    <xf numFmtId="179" fontId="0" fillId="0" borderId="0" xfId="33" applyFont="1" applyBorder="1" applyAlignment="1">
      <alignment/>
    </xf>
    <xf numFmtId="179" fontId="0" fillId="0" borderId="0" xfId="33" applyFont="1" applyFill="1" applyBorder="1" applyAlignment="1">
      <alignment/>
    </xf>
    <xf numFmtId="0" fontId="3" fillId="0" borderId="0" xfId="0" applyFont="1" applyBorder="1" applyAlignment="1">
      <alignment/>
    </xf>
    <xf numFmtId="179" fontId="0" fillId="0" borderId="0" xfId="33" applyFont="1" applyBorder="1" applyAlignment="1">
      <alignment horizontal="center"/>
    </xf>
    <xf numFmtId="179" fontId="0" fillId="0" borderId="0" xfId="33" applyFont="1" applyBorder="1" applyAlignment="1">
      <alignment/>
    </xf>
    <xf numFmtId="179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179" fontId="0" fillId="0" borderId="0" xfId="33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9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3" fillId="0" borderId="0" xfId="33" applyFont="1" applyAlignment="1">
      <alignment/>
    </xf>
    <xf numFmtId="4" fontId="0" fillId="0" borderId="0" xfId="33" applyNumberFormat="1" applyFont="1" applyAlignment="1">
      <alignment/>
    </xf>
    <xf numFmtId="0" fontId="5" fillId="0" borderId="0" xfId="0" applyFont="1" applyBorder="1" applyAlignment="1">
      <alignment/>
    </xf>
    <xf numFmtId="179" fontId="5" fillId="0" borderId="0" xfId="33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179" fontId="5" fillId="0" borderId="0" xfId="33" applyFont="1" applyAlignment="1">
      <alignment/>
    </xf>
    <xf numFmtId="17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79" fontId="55" fillId="0" borderId="13" xfId="33" applyFont="1" applyBorder="1" applyAlignment="1">
      <alignment/>
    </xf>
    <xf numFmtId="179" fontId="55" fillId="0" borderId="14" xfId="33" applyFont="1" applyBorder="1" applyAlignment="1">
      <alignment/>
    </xf>
    <xf numFmtId="179" fontId="55" fillId="0" borderId="11" xfId="33" applyFont="1" applyBorder="1" applyAlignment="1">
      <alignment/>
    </xf>
    <xf numFmtId="179" fontId="6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179" fontId="2" fillId="0" borderId="19" xfId="33" applyFont="1" applyBorder="1" applyAlignment="1">
      <alignment/>
    </xf>
    <xf numFmtId="179" fontId="2" fillId="0" borderId="20" xfId="33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79" fontId="2" fillId="0" borderId="22" xfId="33" applyFont="1" applyBorder="1" applyAlignment="1">
      <alignment/>
    </xf>
    <xf numFmtId="179" fontId="56" fillId="0" borderId="22" xfId="33" applyFont="1" applyBorder="1" applyAlignment="1">
      <alignment/>
    </xf>
    <xf numFmtId="179" fontId="2" fillId="0" borderId="23" xfId="33" applyFont="1" applyBorder="1" applyAlignment="1">
      <alignment/>
    </xf>
    <xf numFmtId="179" fontId="6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/>
    </xf>
    <xf numFmtId="179" fontId="2" fillId="0" borderId="15" xfId="33" applyFont="1" applyBorder="1" applyAlignment="1">
      <alignment/>
    </xf>
    <xf numFmtId="179" fontId="56" fillId="0" borderId="15" xfId="33" applyFont="1" applyBorder="1" applyAlignment="1">
      <alignment/>
    </xf>
    <xf numFmtId="179" fontId="2" fillId="0" borderId="25" xfId="33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5" xfId="0" applyFont="1" applyBorder="1" applyAlignment="1">
      <alignment/>
    </xf>
    <xf numFmtId="179" fontId="6" fillId="0" borderId="15" xfId="33" applyFont="1" applyBorder="1" applyAlignment="1">
      <alignment/>
    </xf>
    <xf numFmtId="179" fontId="6" fillId="0" borderId="25" xfId="33" applyFont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79" fontId="6" fillId="0" borderId="15" xfId="33" applyFont="1" applyFill="1" applyBorder="1" applyAlignment="1">
      <alignment/>
    </xf>
    <xf numFmtId="179" fontId="6" fillId="0" borderId="25" xfId="33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79" fontId="2" fillId="0" borderId="15" xfId="33" applyFont="1" applyFill="1" applyBorder="1" applyAlignment="1">
      <alignment/>
    </xf>
    <xf numFmtId="179" fontId="2" fillId="0" borderId="25" xfId="33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179" fontId="6" fillId="0" borderId="27" xfId="33" applyFont="1" applyBorder="1" applyAlignment="1">
      <alignment/>
    </xf>
    <xf numFmtId="179" fontId="2" fillId="0" borderId="27" xfId="33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8" xfId="0" applyFont="1" applyBorder="1" applyAlignment="1">
      <alignment/>
    </xf>
    <xf numFmtId="179" fontId="2" fillId="0" borderId="28" xfId="33" applyFont="1" applyBorder="1" applyAlignment="1">
      <alignment/>
    </xf>
    <xf numFmtId="179" fontId="6" fillId="0" borderId="29" xfId="33" applyFont="1" applyBorder="1" applyAlignment="1">
      <alignment/>
    </xf>
    <xf numFmtId="179" fontId="2" fillId="0" borderId="0" xfId="33" applyFont="1" applyBorder="1" applyAlignment="1">
      <alignment/>
    </xf>
    <xf numFmtId="179" fontId="6" fillId="0" borderId="0" xfId="0" applyNumberFormat="1" applyFont="1" applyAlignment="1">
      <alignment/>
    </xf>
    <xf numFmtId="179" fontId="6" fillId="0" borderId="0" xfId="33" applyFont="1" applyAlignment="1">
      <alignment/>
    </xf>
    <xf numFmtId="0" fontId="2" fillId="33" borderId="2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179" fontId="2" fillId="33" borderId="15" xfId="33" applyFont="1" applyFill="1" applyBorder="1" applyAlignment="1">
      <alignment/>
    </xf>
    <xf numFmtId="179" fontId="56" fillId="33" borderId="15" xfId="33" applyFont="1" applyFill="1" applyBorder="1" applyAlignment="1">
      <alignment/>
    </xf>
    <xf numFmtId="179" fontId="2" fillId="33" borderId="25" xfId="33" applyFont="1" applyFill="1" applyBorder="1" applyAlignment="1">
      <alignment/>
    </xf>
    <xf numFmtId="179" fontId="6" fillId="33" borderId="23" xfId="0" applyNumberFormat="1" applyFont="1" applyFill="1" applyBorder="1" applyAlignment="1">
      <alignment/>
    </xf>
    <xf numFmtId="179" fontId="55" fillId="33" borderId="14" xfId="33" applyFont="1" applyFill="1" applyBorder="1" applyAlignment="1">
      <alignment/>
    </xf>
    <xf numFmtId="0" fontId="0" fillId="0" borderId="15" xfId="0" applyBorder="1" applyAlignment="1">
      <alignment/>
    </xf>
    <xf numFmtId="43" fontId="0" fillId="0" borderId="0" xfId="0" applyNumberForma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5"/>
          <c:w val="0.90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MP'!$B$4:$M$4</c:f>
              <c:numCache/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MP'!$B$5:$M$5</c:f>
              <c:numCache/>
            </c:numRef>
          </c:val>
        </c:ser>
        <c:axId val="12019339"/>
        <c:axId val="41065188"/>
      </c:bar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1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585"/>
          <c:w val="0.068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75"/>
          <c:w val="0.900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MP'!$B$28:$M$28</c:f>
              <c:numCache/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MP'!$B$29:$M$29</c:f>
              <c:numCache/>
            </c:numRef>
          </c:val>
        </c:ser>
        <c:axId val="34042373"/>
        <c:axId val="37945902"/>
      </c:barChart>
      <c:catAx>
        <c:axId val="3404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2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775"/>
          <c:w val="0.070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975"/>
          <c:w val="0.880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TaS'!$B$5:$M$5</c:f>
              <c:numCache/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TaS'!$B$6:$M$6</c:f>
              <c:numCache/>
            </c:numRef>
          </c:val>
        </c:ser>
        <c:axId val="5968799"/>
        <c:axId val="53719192"/>
      </c:barChart>
      <c:catAx>
        <c:axId val="596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471"/>
          <c:w val="0.084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07712-VaV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TaS'!$B$32:$M$32</c:f>
              <c:numCache/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TaS'!$B$33:$M$33</c:f>
              <c:numCache/>
            </c:numRef>
          </c:val>
        </c:ser>
        <c:axId val="13710681"/>
        <c:axId val="56287266"/>
      </c:barChart>
      <c:catAx>
        <c:axId val="1371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1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69"/>
          <c:w val="0.096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028700"/>
        <a:ext cx="849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66675" y="5095875"/>
        <a:ext cx="8343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66700" y="1181100"/>
        <a:ext cx="6953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76200" y="5591175"/>
        <a:ext cx="7134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70"/>
  <sheetViews>
    <sheetView zoomScale="115" zoomScaleNormal="115" zoomScalePageLayoutView="0" workbookViewId="0" topLeftCell="A1">
      <pane xSplit="1" ySplit="5" topLeftCell="D34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A3" sqref="A3:N70"/>
    </sheetView>
  </sheetViews>
  <sheetFormatPr defaultColWidth="20.140625" defaultRowHeight="12.75"/>
  <cols>
    <col min="1" max="1" width="39.421875" style="0" customWidth="1"/>
    <col min="2" max="2" width="18.00390625" style="0" hidden="1" customWidth="1"/>
    <col min="3" max="3" width="18.8515625" style="0" hidden="1" customWidth="1"/>
    <col min="4" max="4" width="21.140625" style="0" customWidth="1"/>
    <col min="5" max="5" width="19.28125" style="0" customWidth="1"/>
    <col min="6" max="6" width="19.00390625" style="0" customWidth="1"/>
    <col min="7" max="7" width="20.57421875" style="0" customWidth="1"/>
    <col min="8" max="8" width="19.8515625" style="0" customWidth="1"/>
    <col min="9" max="9" width="0.71875" style="0" hidden="1" customWidth="1"/>
    <col min="10" max="11" width="20.140625" style="0" hidden="1" customWidth="1"/>
    <col min="12" max="12" width="2.421875" style="0" hidden="1" customWidth="1"/>
    <col min="13" max="13" width="21.00390625" style="0" customWidth="1"/>
    <col min="14" max="14" width="13.57421875" style="0" customWidth="1"/>
    <col min="15" max="15" width="24.7109375" style="0" hidden="1" customWidth="1"/>
    <col min="16" max="16" width="22.140625" style="0" customWidth="1"/>
    <col min="17" max="17" width="19.28125" style="0" customWidth="1"/>
    <col min="18" max="20" width="20.140625" style="0" hidden="1" customWidth="1"/>
  </cols>
  <sheetData>
    <row r="2" spans="14:21" ht="13.5" thickBot="1">
      <c r="N2" s="15"/>
      <c r="O2" s="15"/>
      <c r="U2">
        <v>1</v>
      </c>
    </row>
    <row r="3" spans="1:15" ht="17.25" customHeight="1">
      <c r="A3" s="102" t="s">
        <v>80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05"/>
      <c r="M3" s="50"/>
      <c r="N3" s="51"/>
      <c r="O3" s="41"/>
    </row>
    <row r="4" spans="1:15" ht="16.5" thickBo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49"/>
      <c r="N4" s="49"/>
      <c r="O4" s="42"/>
    </row>
    <row r="5" spans="1:93" ht="16.5" thickBot="1">
      <c r="A5" s="52"/>
      <c r="B5" s="53" t="s">
        <v>53</v>
      </c>
      <c r="C5" s="53" t="s">
        <v>26</v>
      </c>
      <c r="D5" s="54" t="s">
        <v>73</v>
      </c>
      <c r="E5" s="54" t="s">
        <v>66</v>
      </c>
      <c r="F5" s="54" t="s">
        <v>67</v>
      </c>
      <c r="G5" s="54" t="s">
        <v>65</v>
      </c>
      <c r="H5" s="55" t="s">
        <v>90</v>
      </c>
      <c r="I5" s="55"/>
      <c r="J5" s="55"/>
      <c r="K5" s="55"/>
      <c r="L5" s="56"/>
      <c r="M5" s="57" t="s">
        <v>57</v>
      </c>
      <c r="N5" s="58" t="s">
        <v>60</v>
      </c>
      <c r="O5" s="43" t="s">
        <v>68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16" ht="15.75">
      <c r="A6" s="59" t="s">
        <v>28</v>
      </c>
      <c r="B6" s="60"/>
      <c r="C6" s="60"/>
      <c r="D6" s="61">
        <f>D18+D40+D45+D15+D7</f>
        <v>4261167</v>
      </c>
      <c r="E6" s="61">
        <f>E18+E40+E45+E15+E7+E24+E39+E14</f>
        <v>1127036.55</v>
      </c>
      <c r="F6" s="61">
        <v>0</v>
      </c>
      <c r="G6" s="62">
        <f>G7+G18+G39+G40+G15+G45</f>
        <v>5338203.55</v>
      </c>
      <c r="H6" s="61">
        <f>H18+H40+H45+H15+H7+H39</f>
        <v>3183634.86</v>
      </c>
      <c r="I6" s="61">
        <f>I7+I18+I39+I44+I15</f>
        <v>0</v>
      </c>
      <c r="J6" s="61">
        <f>J7+J18+J39+J44+J15</f>
        <v>0</v>
      </c>
      <c r="K6" s="61" t="e">
        <f>K7+K18+K39+K15+K44</f>
        <v>#REF!</v>
      </c>
      <c r="L6" s="63"/>
      <c r="M6" s="63">
        <f>G6-H6</f>
        <v>2154568.69</v>
      </c>
      <c r="N6" s="64">
        <f>H6/G6*100</f>
        <v>59.63869362006625</v>
      </c>
      <c r="O6" s="44">
        <v>4107962.55</v>
      </c>
      <c r="P6">
        <v>74.99</v>
      </c>
    </row>
    <row r="7" spans="1:17" ht="15.75">
      <c r="A7" s="93" t="s">
        <v>29</v>
      </c>
      <c r="B7" s="94"/>
      <c r="C7" s="94"/>
      <c r="D7" s="95">
        <f>D8+D9+D10</f>
        <v>2412740</v>
      </c>
      <c r="E7" s="95">
        <f>E8+E9+E10</f>
        <v>145276</v>
      </c>
      <c r="F7" s="95">
        <f>F8+F9+F10</f>
        <v>1262475</v>
      </c>
      <c r="G7" s="96">
        <f>D7+E7+F7</f>
        <v>3820491</v>
      </c>
      <c r="H7" s="95">
        <f>H8+H9+H10</f>
        <v>2275361.02</v>
      </c>
      <c r="I7" s="95">
        <f>I8+I9+I10</f>
        <v>0</v>
      </c>
      <c r="J7" s="95">
        <f>J8+J9+J10</f>
        <v>0</v>
      </c>
      <c r="K7" s="95">
        <f>K8+K9+K10</f>
        <v>0</v>
      </c>
      <c r="L7" s="97"/>
      <c r="M7" s="97">
        <f>G7-H7</f>
        <v>1545129.98</v>
      </c>
      <c r="N7" s="98">
        <f aca="true" t="shared" si="0" ref="N7:N53">H7/G7*100</f>
        <v>59.55676953564346</v>
      </c>
      <c r="O7" s="99"/>
      <c r="P7" s="101">
        <f>G8+G9+G20+G21</f>
        <v>3605011</v>
      </c>
      <c r="Q7">
        <f>P7/G6</f>
        <v>0.6753228808594233</v>
      </c>
    </row>
    <row r="8" spans="1:16" ht="15.75">
      <c r="A8" s="70" t="s">
        <v>30</v>
      </c>
      <c r="B8" s="71"/>
      <c r="C8" s="71"/>
      <c r="D8" s="72">
        <v>1506786</v>
      </c>
      <c r="E8" s="72">
        <f>19648+10885+2000-4260+3000+250+4864+34083</f>
        <v>70470</v>
      </c>
      <c r="F8" s="72">
        <v>933214</v>
      </c>
      <c r="G8" s="68">
        <f>D8+E8+F8</f>
        <v>2510470</v>
      </c>
      <c r="H8" s="72">
        <v>1438002.45</v>
      </c>
      <c r="I8" s="72"/>
      <c r="J8" s="67"/>
      <c r="K8" s="67"/>
      <c r="L8" s="69"/>
      <c r="M8" s="69">
        <f aca="true" t="shared" si="1" ref="M8:M53">G8-H8</f>
        <v>1072467.55</v>
      </c>
      <c r="N8" s="64">
        <f t="shared" si="0"/>
        <v>57.28020848685704</v>
      </c>
      <c r="O8" s="45"/>
      <c r="P8" s="101"/>
    </row>
    <row r="9" spans="1:15" ht="15.75">
      <c r="A9" s="70" t="s">
        <v>31</v>
      </c>
      <c r="B9" s="71"/>
      <c r="C9" s="71"/>
      <c r="D9" s="72">
        <v>530389</v>
      </c>
      <c r="E9" s="72">
        <f>6917+3831+704-1499+1056+88+1712+11997</f>
        <v>24806</v>
      </c>
      <c r="F9" s="72">
        <v>279261</v>
      </c>
      <c r="G9" s="68">
        <f>D9+F9+E9</f>
        <v>834456</v>
      </c>
      <c r="H9" s="72">
        <v>507380.25</v>
      </c>
      <c r="I9" s="72"/>
      <c r="J9" s="67"/>
      <c r="K9" s="67"/>
      <c r="L9" s="69"/>
      <c r="M9" s="69">
        <f t="shared" si="1"/>
        <v>327075.75</v>
      </c>
      <c r="N9" s="64">
        <f t="shared" si="0"/>
        <v>60.80371523483563</v>
      </c>
      <c r="O9" s="45"/>
    </row>
    <row r="10" spans="1:15" ht="15.75">
      <c r="A10" s="70" t="s">
        <v>32</v>
      </c>
      <c r="B10" s="71"/>
      <c r="C10" s="71"/>
      <c r="D10" s="72">
        <f>D11+D12+D13</f>
        <v>375565</v>
      </c>
      <c r="E10" s="72">
        <v>50000</v>
      </c>
      <c r="F10" s="72">
        <f>F11+F12+F13+F14</f>
        <v>50000</v>
      </c>
      <c r="G10" s="68">
        <f>D10+E10+F10</f>
        <v>475565</v>
      </c>
      <c r="H10" s="72">
        <f>H11+H12+H13+H14</f>
        <v>329978.32</v>
      </c>
      <c r="I10" s="72">
        <f>I11+I12</f>
        <v>0</v>
      </c>
      <c r="J10" s="72">
        <f>J11+J12</f>
        <v>0</v>
      </c>
      <c r="K10" s="72">
        <f>K11+K12</f>
        <v>0</v>
      </c>
      <c r="L10" s="73"/>
      <c r="M10" s="69">
        <f t="shared" si="1"/>
        <v>145586.68</v>
      </c>
      <c r="N10" s="64">
        <f t="shared" si="0"/>
        <v>69.38658648134324</v>
      </c>
      <c r="O10" s="45"/>
    </row>
    <row r="11" spans="1:15" ht="15.75">
      <c r="A11" s="70" t="s">
        <v>24</v>
      </c>
      <c r="B11" s="71"/>
      <c r="C11" s="71"/>
      <c r="D11" s="72">
        <v>330998</v>
      </c>
      <c r="E11" s="72"/>
      <c r="F11" s="72"/>
      <c r="G11" s="68">
        <f>D11+F11+E11</f>
        <v>330998</v>
      </c>
      <c r="H11" s="72">
        <v>305279.44</v>
      </c>
      <c r="I11" s="72"/>
      <c r="J11" s="67"/>
      <c r="K11" s="67"/>
      <c r="L11" s="69"/>
      <c r="M11" s="69">
        <f t="shared" si="1"/>
        <v>25718.559999999998</v>
      </c>
      <c r="N11" s="64">
        <f t="shared" si="0"/>
        <v>92.22999534740391</v>
      </c>
      <c r="O11" s="45"/>
    </row>
    <row r="12" spans="1:15" ht="15.75">
      <c r="A12" s="70" t="s">
        <v>25</v>
      </c>
      <c r="B12" s="71"/>
      <c r="C12" s="71"/>
      <c r="D12" s="72">
        <v>44000</v>
      </c>
      <c r="E12" s="72"/>
      <c r="F12" s="72"/>
      <c r="G12" s="68">
        <f>D12+E12+F12</f>
        <v>44000</v>
      </c>
      <c r="H12" s="72">
        <v>24698.88</v>
      </c>
      <c r="I12" s="72"/>
      <c r="J12" s="67"/>
      <c r="K12" s="67"/>
      <c r="L12" s="69"/>
      <c r="M12" s="69">
        <f t="shared" si="1"/>
        <v>19301.12</v>
      </c>
      <c r="N12" s="64">
        <f t="shared" si="0"/>
        <v>56.133818181818185</v>
      </c>
      <c r="O12" s="45"/>
    </row>
    <row r="13" spans="1:15" ht="15.75">
      <c r="A13" s="70" t="s">
        <v>93</v>
      </c>
      <c r="B13" s="71"/>
      <c r="C13" s="71"/>
      <c r="D13" s="72">
        <v>567</v>
      </c>
      <c r="E13" s="72"/>
      <c r="F13" s="72"/>
      <c r="G13" s="68">
        <f>D13+E13+F13</f>
        <v>567</v>
      </c>
      <c r="H13" s="72">
        <v>0</v>
      </c>
      <c r="I13" s="72"/>
      <c r="J13" s="67"/>
      <c r="K13" s="67"/>
      <c r="L13" s="69"/>
      <c r="M13" s="69">
        <f t="shared" si="1"/>
        <v>567</v>
      </c>
      <c r="N13" s="64">
        <f t="shared" si="0"/>
        <v>0</v>
      </c>
      <c r="O13" s="45"/>
    </row>
    <row r="14" spans="1:15" ht="15.75">
      <c r="A14" s="70" t="s">
        <v>94</v>
      </c>
      <c r="B14" s="71"/>
      <c r="C14" s="71"/>
      <c r="D14" s="72"/>
      <c r="E14" s="72">
        <v>50000</v>
      </c>
      <c r="F14" s="72">
        <v>50000</v>
      </c>
      <c r="G14" s="68">
        <f>D14+E14+F14</f>
        <v>100000</v>
      </c>
      <c r="H14" s="72">
        <v>0</v>
      </c>
      <c r="I14" s="72"/>
      <c r="J14" s="67"/>
      <c r="K14" s="67"/>
      <c r="L14" s="69"/>
      <c r="M14" s="69">
        <f t="shared" si="1"/>
        <v>100000</v>
      </c>
      <c r="N14" s="64">
        <f t="shared" si="0"/>
        <v>0</v>
      </c>
      <c r="O14" s="45"/>
    </row>
    <row r="15" spans="1:15" ht="15.75">
      <c r="A15" s="93" t="s">
        <v>27</v>
      </c>
      <c r="B15" s="94"/>
      <c r="C15" s="94"/>
      <c r="D15" s="95">
        <f aca="true" t="shared" si="2" ref="D15:K15">D16+D17</f>
        <v>0</v>
      </c>
      <c r="E15" s="95">
        <f t="shared" si="2"/>
        <v>15015</v>
      </c>
      <c r="F15" s="95">
        <v>0</v>
      </c>
      <c r="G15" s="96">
        <f aca="true" t="shared" si="3" ref="G15:G54">D15+E15+F15</f>
        <v>15015</v>
      </c>
      <c r="H15" s="95">
        <f>H16+H17</f>
        <v>13906.69</v>
      </c>
      <c r="I15" s="95">
        <f t="shared" si="2"/>
        <v>0</v>
      </c>
      <c r="J15" s="95">
        <f t="shared" si="2"/>
        <v>0</v>
      </c>
      <c r="K15" s="95">
        <f t="shared" si="2"/>
        <v>0</v>
      </c>
      <c r="L15" s="97"/>
      <c r="M15" s="97">
        <f t="shared" si="1"/>
        <v>1108.3099999999995</v>
      </c>
      <c r="N15" s="98">
        <f t="shared" si="0"/>
        <v>92.61864801864802</v>
      </c>
      <c r="O15" s="99"/>
    </row>
    <row r="16" spans="1:15" ht="15.75">
      <c r="A16" s="74" t="s">
        <v>33</v>
      </c>
      <c r="B16" s="75"/>
      <c r="C16" s="75"/>
      <c r="D16" s="72">
        <v>0</v>
      </c>
      <c r="E16" s="72">
        <f>4200+4300+2520+875</f>
        <v>11895</v>
      </c>
      <c r="F16" s="72">
        <v>0</v>
      </c>
      <c r="G16" s="68">
        <f>D16+E16+F16</f>
        <v>11895</v>
      </c>
      <c r="H16" s="72">
        <v>11515</v>
      </c>
      <c r="I16" s="72"/>
      <c r="J16" s="67"/>
      <c r="K16" s="67"/>
      <c r="L16" s="69"/>
      <c r="M16" s="69">
        <f t="shared" si="1"/>
        <v>380</v>
      </c>
      <c r="N16" s="64">
        <f t="shared" si="0"/>
        <v>96.80538041193779</v>
      </c>
      <c r="O16" s="45"/>
    </row>
    <row r="17" spans="1:15" ht="15.75">
      <c r="A17" s="74" t="s">
        <v>34</v>
      </c>
      <c r="B17" s="75"/>
      <c r="C17" s="75"/>
      <c r="D17" s="72"/>
      <c r="E17" s="72">
        <f>1200+1200+720</f>
        <v>3120</v>
      </c>
      <c r="F17" s="72"/>
      <c r="G17" s="68">
        <f t="shared" si="3"/>
        <v>3120</v>
      </c>
      <c r="H17" s="72">
        <v>2391.69</v>
      </c>
      <c r="I17" s="72"/>
      <c r="J17" s="67"/>
      <c r="K17" s="67"/>
      <c r="L17" s="69"/>
      <c r="M17" s="69">
        <f t="shared" si="1"/>
        <v>728.31</v>
      </c>
      <c r="N17" s="64">
        <f t="shared" si="0"/>
        <v>76.65673076923078</v>
      </c>
      <c r="O17" s="45"/>
    </row>
    <row r="18" spans="1:15" ht="15.75">
      <c r="A18" s="93" t="s">
        <v>35</v>
      </c>
      <c r="B18" s="94"/>
      <c r="C18" s="94"/>
      <c r="D18" s="95">
        <v>1762897</v>
      </c>
      <c r="E18" s="95">
        <f>E19+E35+E38+E32+E29+E30+E31</f>
        <v>243891</v>
      </c>
      <c r="F18" s="95">
        <v>-1262475</v>
      </c>
      <c r="G18" s="96">
        <f>G19+G35+G38</f>
        <v>744313</v>
      </c>
      <c r="H18" s="95">
        <f>H19+H35+H37+H38+H32+H36</f>
        <v>402511.67000000004</v>
      </c>
      <c r="I18" s="95">
        <f>I19+I32+I35+I36+I37</f>
        <v>0</v>
      </c>
      <c r="J18" s="95">
        <f>J19+J32+J35+J36+J37</f>
        <v>0</v>
      </c>
      <c r="K18" s="95">
        <f>K19+K32+K35+K36+K37</f>
        <v>0</v>
      </c>
      <c r="L18" s="97"/>
      <c r="M18" s="97">
        <f t="shared" si="1"/>
        <v>341801.32999999996</v>
      </c>
      <c r="N18" s="98">
        <f t="shared" si="0"/>
        <v>54.078280239630374</v>
      </c>
      <c r="O18" s="99"/>
    </row>
    <row r="19" spans="1:17" ht="15.75">
      <c r="A19" s="74" t="s">
        <v>36</v>
      </c>
      <c r="B19" s="75"/>
      <c r="C19" s="75"/>
      <c r="D19" s="76">
        <v>1741375</v>
      </c>
      <c r="E19" s="76">
        <f>E20+E21+E22+E23</f>
        <v>17533</v>
      </c>
      <c r="F19" s="76">
        <v>-1262475</v>
      </c>
      <c r="G19" s="68">
        <f>G20+G21+G22+G23+G24+G25+G37+G32+G33</f>
        <v>586955</v>
      </c>
      <c r="H19" s="76">
        <f>H20+H21+H24+H22+H23+H25</f>
        <v>146949.36000000002</v>
      </c>
      <c r="I19" s="76">
        <f>I20+I21+I24</f>
        <v>0</v>
      </c>
      <c r="J19" s="76">
        <f>J20+J21+J24</f>
        <v>0</v>
      </c>
      <c r="K19" s="76">
        <f>K20+K21+K24</f>
        <v>0</v>
      </c>
      <c r="L19" s="77"/>
      <c r="M19" s="69">
        <f t="shared" si="1"/>
        <v>440005.64</v>
      </c>
      <c r="N19" s="64">
        <f t="shared" si="0"/>
        <v>25.035881796730585</v>
      </c>
      <c r="O19" s="45"/>
      <c r="Q19" s="2"/>
    </row>
    <row r="20" spans="1:15" ht="15.75">
      <c r="A20" s="74" t="s">
        <v>37</v>
      </c>
      <c r="B20" s="75"/>
      <c r="C20" s="75"/>
      <c r="D20" s="76">
        <v>180000</v>
      </c>
      <c r="E20" s="76">
        <f>9440+1100+1727</f>
        <v>12267</v>
      </c>
      <c r="F20" s="100"/>
      <c r="G20" s="68">
        <f>SUM(D20:E20)</f>
        <v>192267</v>
      </c>
      <c r="H20" s="72">
        <v>95754.88</v>
      </c>
      <c r="I20" s="72"/>
      <c r="J20" s="67"/>
      <c r="K20" s="67"/>
      <c r="L20" s="69"/>
      <c r="M20" s="69">
        <f t="shared" si="1"/>
        <v>96512.12</v>
      </c>
      <c r="N20" s="64">
        <f t="shared" si="0"/>
        <v>49.803075930866974</v>
      </c>
      <c r="O20" s="45"/>
    </row>
    <row r="21" spans="1:15" ht="15.75">
      <c r="A21" s="74" t="s">
        <v>38</v>
      </c>
      <c r="B21" s="75"/>
      <c r="C21" s="75"/>
      <c r="D21" s="76">
        <v>63500</v>
      </c>
      <c r="E21" s="76">
        <f>3322+388+608</f>
        <v>4318</v>
      </c>
      <c r="G21" s="68">
        <f>SUM(D21:E21)</f>
        <v>67818</v>
      </c>
      <c r="H21" s="72">
        <v>33500.98</v>
      </c>
      <c r="I21" s="72"/>
      <c r="J21" s="67"/>
      <c r="K21" s="67"/>
      <c r="L21" s="69"/>
      <c r="M21" s="69">
        <f t="shared" si="1"/>
        <v>34317.02</v>
      </c>
      <c r="N21" s="64">
        <f t="shared" si="0"/>
        <v>49.39836031731989</v>
      </c>
      <c r="O21" s="45"/>
    </row>
    <row r="22" spans="1:15" ht="15.75">
      <c r="A22" s="74" t="s">
        <v>81</v>
      </c>
      <c r="B22" s="75"/>
      <c r="C22" s="75"/>
      <c r="D22" s="76"/>
      <c r="E22" s="76">
        <f>300+300+100</f>
        <v>700</v>
      </c>
      <c r="F22" s="76"/>
      <c r="G22" s="68">
        <f>D22+E22+F22</f>
        <v>700</v>
      </c>
      <c r="H22" s="72">
        <v>600</v>
      </c>
      <c r="I22" s="72"/>
      <c r="J22" s="67"/>
      <c r="K22" s="67"/>
      <c r="L22" s="69"/>
      <c r="M22" s="69">
        <f t="shared" si="1"/>
        <v>100</v>
      </c>
      <c r="N22" s="64">
        <v>0</v>
      </c>
      <c r="O22" s="45"/>
    </row>
    <row r="23" spans="1:15" ht="15.75">
      <c r="A23" s="74" t="s">
        <v>82</v>
      </c>
      <c r="B23" s="75"/>
      <c r="C23" s="75"/>
      <c r="D23" s="76"/>
      <c r="E23" s="76">
        <f>106+106+36</f>
        <v>248</v>
      </c>
      <c r="F23" s="76"/>
      <c r="G23" s="68">
        <f>D23+E23+F23</f>
        <v>248</v>
      </c>
      <c r="H23" s="72">
        <v>211.2</v>
      </c>
      <c r="I23" s="72"/>
      <c r="J23" s="67"/>
      <c r="K23" s="67"/>
      <c r="L23" s="69"/>
      <c r="M23" s="69">
        <f t="shared" si="1"/>
        <v>36.80000000000001</v>
      </c>
      <c r="N23" s="64">
        <v>0</v>
      </c>
      <c r="O23" s="45"/>
    </row>
    <row r="24" spans="1:15" ht="15.75">
      <c r="A24" s="74" t="s">
        <v>39</v>
      </c>
      <c r="B24" s="75"/>
      <c r="C24" s="75"/>
      <c r="D24" s="76">
        <v>5000</v>
      </c>
      <c r="E24" s="76"/>
      <c r="G24" s="68">
        <f>SUM(D24:E24)</f>
        <v>5000</v>
      </c>
      <c r="H24" s="72">
        <v>3484.5</v>
      </c>
      <c r="I24" s="72"/>
      <c r="J24" s="67"/>
      <c r="K24" s="67"/>
      <c r="L24" s="69"/>
      <c r="M24" s="69">
        <f t="shared" si="1"/>
        <v>1515.5</v>
      </c>
      <c r="N24" s="64">
        <f t="shared" si="0"/>
        <v>69.69</v>
      </c>
      <c r="O24" s="45"/>
    </row>
    <row r="25" spans="1:15" ht="15.75">
      <c r="A25" s="74" t="s">
        <v>69</v>
      </c>
      <c r="B25" s="75"/>
      <c r="C25" s="75"/>
      <c r="D25" s="76">
        <v>18855</v>
      </c>
      <c r="E25" s="76"/>
      <c r="F25" s="76"/>
      <c r="G25" s="68">
        <f>D25+E25+F25</f>
        <v>18855</v>
      </c>
      <c r="H25" s="72">
        <f>H26+H27+H28</f>
        <v>13397.8</v>
      </c>
      <c r="I25" s="72"/>
      <c r="J25" s="67"/>
      <c r="K25" s="67"/>
      <c r="L25" s="69"/>
      <c r="M25" s="69">
        <f t="shared" si="1"/>
        <v>5457.200000000001</v>
      </c>
      <c r="N25" s="64">
        <v>0</v>
      </c>
      <c r="O25" s="45"/>
    </row>
    <row r="26" spans="1:15" ht="15.75">
      <c r="A26" s="74" t="s">
        <v>75</v>
      </c>
      <c r="B26" s="75"/>
      <c r="C26" s="75"/>
      <c r="D26" s="76"/>
      <c r="E26" s="76"/>
      <c r="F26" s="76"/>
      <c r="G26" s="68">
        <v>13508</v>
      </c>
      <c r="H26" s="72">
        <v>9824</v>
      </c>
      <c r="I26" s="72"/>
      <c r="J26" s="67"/>
      <c r="K26" s="67"/>
      <c r="L26" s="69"/>
      <c r="M26" s="69">
        <f>G26-H26</f>
        <v>3684</v>
      </c>
      <c r="N26" s="64"/>
      <c r="O26" s="45"/>
    </row>
    <row r="27" spans="1:15" ht="15.75">
      <c r="A27" s="74" t="s">
        <v>76</v>
      </c>
      <c r="B27" s="75"/>
      <c r="C27" s="75"/>
      <c r="D27" s="76"/>
      <c r="E27" s="76"/>
      <c r="F27" s="76"/>
      <c r="G27" s="68">
        <v>4754.86</v>
      </c>
      <c r="H27" s="72">
        <v>3457.98</v>
      </c>
      <c r="I27" s="72"/>
      <c r="J27" s="67"/>
      <c r="K27" s="67"/>
      <c r="L27" s="69"/>
      <c r="M27" s="69">
        <f>G27-H27</f>
        <v>1296.8799999999997</v>
      </c>
      <c r="N27" s="64"/>
      <c r="O27" s="45"/>
    </row>
    <row r="28" spans="1:15" ht="15.75">
      <c r="A28" s="74" t="s">
        <v>77</v>
      </c>
      <c r="B28" s="75"/>
      <c r="C28" s="75"/>
      <c r="D28" s="76"/>
      <c r="E28" s="76"/>
      <c r="F28" s="76"/>
      <c r="G28" s="68">
        <v>592.14</v>
      </c>
      <c r="H28" s="72">
        <v>115.82</v>
      </c>
      <c r="I28" s="72"/>
      <c r="J28" s="67"/>
      <c r="K28" s="67"/>
      <c r="L28" s="69"/>
      <c r="M28" s="69">
        <f>G28-H28</f>
        <v>476.32</v>
      </c>
      <c r="N28" s="64"/>
      <c r="O28" s="45"/>
    </row>
    <row r="29" spans="1:15" ht="15.75">
      <c r="A29" s="74" t="s">
        <v>61</v>
      </c>
      <c r="B29" s="75"/>
      <c r="C29" s="75"/>
      <c r="D29" s="76"/>
      <c r="E29" s="76">
        <f>50000</f>
        <v>50000</v>
      </c>
      <c r="F29" s="76">
        <v>-50000</v>
      </c>
      <c r="G29" s="68">
        <f t="shared" si="3"/>
        <v>0</v>
      </c>
      <c r="H29" s="72">
        <v>0</v>
      </c>
      <c r="I29" s="72"/>
      <c r="J29" s="67"/>
      <c r="K29" s="67"/>
      <c r="L29" s="69"/>
      <c r="M29" s="69">
        <f t="shared" si="1"/>
        <v>0</v>
      </c>
      <c r="N29" s="64">
        <v>0</v>
      </c>
      <c r="O29" s="45"/>
    </row>
    <row r="30" spans="1:15" ht="15.75">
      <c r="A30" s="74" t="s">
        <v>78</v>
      </c>
      <c r="B30" s="75"/>
      <c r="C30" s="75"/>
      <c r="D30" s="76"/>
      <c r="E30" s="76"/>
      <c r="F30" s="76"/>
      <c r="G30" s="68">
        <f>D30+E30+F30</f>
        <v>0</v>
      </c>
      <c r="H30" s="72"/>
      <c r="I30" s="72"/>
      <c r="J30" s="67"/>
      <c r="K30" s="67"/>
      <c r="L30" s="69"/>
      <c r="M30" s="69"/>
      <c r="N30" s="64"/>
      <c r="O30" s="45"/>
    </row>
    <row r="31" spans="1:15" ht="15.75">
      <c r="A31" s="74" t="s">
        <v>79</v>
      </c>
      <c r="B31" s="75"/>
      <c r="C31" s="75"/>
      <c r="D31" s="76"/>
      <c r="E31" s="76"/>
      <c r="F31" s="76"/>
      <c r="G31" s="68"/>
      <c r="H31" s="72"/>
      <c r="I31" s="72"/>
      <c r="J31" s="67"/>
      <c r="K31" s="67"/>
      <c r="L31" s="69"/>
      <c r="M31" s="69"/>
      <c r="N31" s="64"/>
      <c r="O31" s="45"/>
    </row>
    <row r="32" spans="1:15" ht="15.75">
      <c r="A32" s="74" t="s">
        <v>56</v>
      </c>
      <c r="B32" s="75"/>
      <c r="C32" s="75"/>
      <c r="D32" s="76"/>
      <c r="E32" s="76">
        <f>9000+10000</f>
        <v>19000</v>
      </c>
      <c r="F32" s="76"/>
      <c r="G32" s="68">
        <f t="shared" si="3"/>
        <v>19000</v>
      </c>
      <c r="H32" s="72">
        <v>2105.99</v>
      </c>
      <c r="I32" s="72"/>
      <c r="J32" s="67"/>
      <c r="K32" s="67"/>
      <c r="L32" s="69"/>
      <c r="M32" s="69">
        <f t="shared" si="1"/>
        <v>16894.010000000002</v>
      </c>
      <c r="N32" s="64">
        <f t="shared" si="0"/>
        <v>11.084157894736842</v>
      </c>
      <c r="O32" s="45"/>
    </row>
    <row r="33" spans="1:15" ht="15.75">
      <c r="A33" s="74" t="s">
        <v>71</v>
      </c>
      <c r="B33" s="75"/>
      <c r="C33" s="75"/>
      <c r="D33" s="76">
        <v>2667</v>
      </c>
      <c r="E33" s="76"/>
      <c r="F33" s="76"/>
      <c r="G33" s="68">
        <f>D33+E33+F33</f>
        <v>2667</v>
      </c>
      <c r="H33" s="72">
        <v>543.19</v>
      </c>
      <c r="I33" s="72"/>
      <c r="J33" s="67"/>
      <c r="K33" s="67"/>
      <c r="L33" s="69"/>
      <c r="M33" s="69">
        <f>G33-H33</f>
        <v>2123.81</v>
      </c>
      <c r="N33" s="64"/>
      <c r="O33" s="45"/>
    </row>
    <row r="34" spans="1:16" ht="15.75">
      <c r="A34" s="74" t="s">
        <v>72</v>
      </c>
      <c r="B34" s="75"/>
      <c r="C34" s="75"/>
      <c r="D34" s="76"/>
      <c r="E34" s="76"/>
      <c r="F34" s="76"/>
      <c r="G34" s="68">
        <f>D34+E34+F34</f>
        <v>0</v>
      </c>
      <c r="H34" s="72">
        <v>86.01</v>
      </c>
      <c r="I34" s="72"/>
      <c r="J34" s="67"/>
      <c r="K34" s="67"/>
      <c r="L34" s="69"/>
      <c r="M34" s="69">
        <f>G34-H34</f>
        <v>-86.01</v>
      </c>
      <c r="N34" s="64"/>
      <c r="O34" s="45"/>
      <c r="P34" t="s">
        <v>70</v>
      </c>
    </row>
    <row r="35" spans="1:15" ht="15.75">
      <c r="A35" s="74" t="s">
        <v>40</v>
      </c>
      <c r="B35" s="75"/>
      <c r="C35" s="75"/>
      <c r="D35" s="72"/>
      <c r="E35" s="72">
        <f>111034+4879</f>
        <v>115913</v>
      </c>
      <c r="F35" s="72"/>
      <c r="G35" s="68">
        <f t="shared" si="3"/>
        <v>115913</v>
      </c>
      <c r="H35" s="72">
        <v>35689.13</v>
      </c>
      <c r="I35" s="72"/>
      <c r="J35" s="67"/>
      <c r="K35" s="67"/>
      <c r="L35" s="69"/>
      <c r="M35" s="69">
        <f t="shared" si="1"/>
        <v>80223.87</v>
      </c>
      <c r="N35" s="64">
        <f t="shared" si="0"/>
        <v>30.789583566985584</v>
      </c>
      <c r="O35" s="45"/>
    </row>
    <row r="36" spans="1:15" ht="15.75">
      <c r="A36" s="74" t="s">
        <v>54</v>
      </c>
      <c r="B36" s="75"/>
      <c r="C36" s="75"/>
      <c r="D36" s="72">
        <v>0</v>
      </c>
      <c r="E36" s="72"/>
      <c r="F36" s="72"/>
      <c r="G36" s="68">
        <f>D36+E36+F36</f>
        <v>0</v>
      </c>
      <c r="H36" s="72">
        <v>0</v>
      </c>
      <c r="I36" s="72"/>
      <c r="J36" s="67"/>
      <c r="K36" s="67"/>
      <c r="L36" s="69"/>
      <c r="M36" s="69">
        <f t="shared" si="1"/>
        <v>0</v>
      </c>
      <c r="N36" s="64">
        <v>0</v>
      </c>
      <c r="O36" s="45"/>
    </row>
    <row r="37" spans="1:17" ht="15.75">
      <c r="A37" s="74" t="s">
        <v>55</v>
      </c>
      <c r="B37" s="75"/>
      <c r="C37" s="75"/>
      <c r="D37" s="72">
        <v>280400</v>
      </c>
      <c r="E37" s="72"/>
      <c r="G37" s="68">
        <f>SUM(D37:F37)</f>
        <v>280400</v>
      </c>
      <c r="H37" s="72">
        <v>211728.93</v>
      </c>
      <c r="I37" s="67"/>
      <c r="J37" s="67"/>
      <c r="K37" s="67"/>
      <c r="L37" s="69"/>
      <c r="M37" s="69">
        <f t="shared" si="1"/>
        <v>68671.07</v>
      </c>
      <c r="N37" s="64">
        <f t="shared" si="0"/>
        <v>75.50960413694722</v>
      </c>
      <c r="O37" s="45"/>
      <c r="Q37" s="101"/>
    </row>
    <row r="38" spans="1:15" ht="15.75">
      <c r="A38" s="74" t="s">
        <v>41</v>
      </c>
      <c r="B38" s="75"/>
      <c r="C38" s="75"/>
      <c r="D38" s="72"/>
      <c r="E38" s="72">
        <f>41445</f>
        <v>41445</v>
      </c>
      <c r="F38" s="72"/>
      <c r="G38" s="68">
        <f t="shared" si="3"/>
        <v>41445</v>
      </c>
      <c r="H38" s="72">
        <v>6038.26</v>
      </c>
      <c r="I38" s="72"/>
      <c r="J38" s="67"/>
      <c r="K38" s="67"/>
      <c r="L38" s="69"/>
      <c r="M38" s="69">
        <f t="shared" si="1"/>
        <v>35406.74</v>
      </c>
      <c r="N38" s="64">
        <f t="shared" si="0"/>
        <v>14.569332850766076</v>
      </c>
      <c r="O38" s="45"/>
    </row>
    <row r="39" spans="1:15" ht="15.75">
      <c r="A39" s="93" t="s">
        <v>42</v>
      </c>
      <c r="B39" s="94"/>
      <c r="C39" s="94"/>
      <c r="D39" s="95">
        <v>0</v>
      </c>
      <c r="E39" s="95">
        <f>4323.7+3991.1+2814.86+3106.89</f>
        <v>14236.55</v>
      </c>
      <c r="F39" s="95"/>
      <c r="G39" s="96">
        <f t="shared" si="3"/>
        <v>14236.55</v>
      </c>
      <c r="H39" s="95">
        <v>3790.39</v>
      </c>
      <c r="I39" s="95">
        <f>I40+I42+I43+I41</f>
        <v>0</v>
      </c>
      <c r="J39" s="95">
        <f>J40+J42+J43+J41</f>
        <v>0</v>
      </c>
      <c r="K39" s="95">
        <f>K40+K41+K42+K43</f>
        <v>0</v>
      </c>
      <c r="L39" s="97"/>
      <c r="M39" s="97">
        <f t="shared" si="1"/>
        <v>10446.16</v>
      </c>
      <c r="N39" s="98">
        <v>0</v>
      </c>
      <c r="O39" s="99"/>
    </row>
    <row r="40" spans="1:15" ht="15.75">
      <c r="A40" s="93" t="s">
        <v>43</v>
      </c>
      <c r="B40" s="94"/>
      <c r="C40" s="94"/>
      <c r="D40" s="95">
        <f>D41+D43+D44+D42</f>
        <v>85530</v>
      </c>
      <c r="E40" s="95">
        <f>E41+E42+E43+E44</f>
        <v>159650</v>
      </c>
      <c r="F40" s="95"/>
      <c r="G40" s="96">
        <f t="shared" si="3"/>
        <v>245180</v>
      </c>
      <c r="H40" s="95">
        <f>H41+H43+H44+H42</f>
        <v>173029.01</v>
      </c>
      <c r="I40" s="95"/>
      <c r="J40" s="95"/>
      <c r="K40" s="95"/>
      <c r="L40" s="97"/>
      <c r="M40" s="97">
        <f t="shared" si="1"/>
        <v>72150.98999999999</v>
      </c>
      <c r="N40" s="98">
        <f t="shared" si="0"/>
        <v>70.57223672403948</v>
      </c>
      <c r="O40" s="99"/>
    </row>
    <row r="41" spans="1:15" ht="15.75">
      <c r="A41" s="74" t="s">
        <v>44</v>
      </c>
      <c r="B41" s="75"/>
      <c r="C41" s="75"/>
      <c r="D41" s="76">
        <v>40624</v>
      </c>
      <c r="E41" s="76"/>
      <c r="F41" s="76"/>
      <c r="G41" s="68">
        <f t="shared" si="3"/>
        <v>40624</v>
      </c>
      <c r="H41" s="72">
        <v>7156.01</v>
      </c>
      <c r="I41" s="67"/>
      <c r="J41" s="67"/>
      <c r="K41" s="67"/>
      <c r="L41" s="69"/>
      <c r="M41" s="69">
        <f t="shared" si="1"/>
        <v>33467.99</v>
      </c>
      <c r="N41" s="64">
        <f t="shared" si="0"/>
        <v>17.61522745175266</v>
      </c>
      <c r="O41" s="45"/>
    </row>
    <row r="42" spans="1:17" ht="15.75">
      <c r="A42" s="74" t="s">
        <v>58</v>
      </c>
      <c r="B42" s="75"/>
      <c r="C42" s="75"/>
      <c r="D42" s="76"/>
      <c r="E42" s="76">
        <f>154667</f>
        <v>154667</v>
      </c>
      <c r="F42" s="76"/>
      <c r="G42" s="68">
        <f t="shared" si="3"/>
        <v>154667</v>
      </c>
      <c r="H42" s="72">
        <v>154665</v>
      </c>
      <c r="I42" s="67"/>
      <c r="J42" s="67"/>
      <c r="K42" s="80"/>
      <c r="L42" s="81"/>
      <c r="M42" s="69">
        <f>G42-H42</f>
        <v>2</v>
      </c>
      <c r="N42" s="64">
        <f t="shared" si="0"/>
        <v>99.99870689933857</v>
      </c>
      <c r="O42" s="45"/>
      <c r="Q42" s="5"/>
    </row>
    <row r="43" spans="1:15" ht="15.75">
      <c r="A43" s="74" t="s">
        <v>59</v>
      </c>
      <c r="B43" s="75"/>
      <c r="C43" s="75"/>
      <c r="D43" s="76">
        <v>44906</v>
      </c>
      <c r="E43" s="76"/>
      <c r="F43" s="76"/>
      <c r="G43" s="68">
        <f t="shared" si="3"/>
        <v>44906</v>
      </c>
      <c r="H43" s="72">
        <v>6225</v>
      </c>
      <c r="I43" s="80"/>
      <c r="J43" s="80"/>
      <c r="K43" s="67"/>
      <c r="L43" s="69"/>
      <c r="M43" s="69">
        <f t="shared" si="1"/>
        <v>38681</v>
      </c>
      <c r="N43" s="64">
        <f t="shared" si="0"/>
        <v>13.862290117133568</v>
      </c>
      <c r="O43" s="45"/>
    </row>
    <row r="44" spans="1:20" ht="15.75">
      <c r="A44" s="74" t="s">
        <v>52</v>
      </c>
      <c r="B44" s="75"/>
      <c r="C44" s="75"/>
      <c r="D44" s="76"/>
      <c r="E44" s="76">
        <f>4983</f>
        <v>4983</v>
      </c>
      <c r="F44" s="76"/>
      <c r="G44" s="68">
        <f t="shared" si="3"/>
        <v>4983</v>
      </c>
      <c r="H44" s="76">
        <v>4983</v>
      </c>
      <c r="I44" s="67"/>
      <c r="J44" s="67"/>
      <c r="K44" s="67" t="e">
        <f>#REF!+K46+K47+K48+K49+K50</f>
        <v>#REF!</v>
      </c>
      <c r="L44" s="69"/>
      <c r="M44" s="69">
        <f t="shared" si="1"/>
        <v>0</v>
      </c>
      <c r="N44" s="64">
        <f t="shared" si="0"/>
        <v>100</v>
      </c>
      <c r="O44" s="45"/>
      <c r="R44" s="5"/>
      <c r="S44" s="8"/>
      <c r="T44" s="5"/>
    </row>
    <row r="45" spans="1:15" ht="17.25" customHeight="1">
      <c r="A45" s="93" t="s">
        <v>45</v>
      </c>
      <c r="B45" s="94"/>
      <c r="C45" s="94"/>
      <c r="D45" s="95"/>
      <c r="E45" s="95">
        <f>308467-6054+36356+95040+65159</f>
        <v>498968</v>
      </c>
      <c r="F45" s="95"/>
      <c r="G45" s="96">
        <f>D45+E45+F45</f>
        <v>498968</v>
      </c>
      <c r="H45" s="95">
        <v>315036.08</v>
      </c>
      <c r="I45" s="95"/>
      <c r="J45" s="95"/>
      <c r="K45" s="95"/>
      <c r="L45" s="97"/>
      <c r="M45" s="97">
        <f t="shared" si="1"/>
        <v>183931.91999999998</v>
      </c>
      <c r="N45" s="98">
        <f t="shared" si="0"/>
        <v>63.13753186577096</v>
      </c>
      <c r="O45" s="99"/>
    </row>
    <row r="46" spans="1:15" ht="1.5" customHeight="1">
      <c r="A46" s="65" t="s">
        <v>46</v>
      </c>
      <c r="B46" s="66"/>
      <c r="C46" s="66"/>
      <c r="D46" s="67">
        <f>D47+D48+D49+D50+D51+D52</f>
        <v>0</v>
      </c>
      <c r="E46" s="67"/>
      <c r="F46" s="67"/>
      <c r="G46" s="68">
        <f t="shared" si="3"/>
        <v>0</v>
      </c>
      <c r="H46" s="67">
        <f>H47+H48+H49+H50+H51+H52</f>
        <v>0</v>
      </c>
      <c r="I46" s="67"/>
      <c r="J46" s="67"/>
      <c r="K46" s="67"/>
      <c r="L46" s="69"/>
      <c r="M46" s="69">
        <f t="shared" si="1"/>
        <v>0</v>
      </c>
      <c r="N46" s="64">
        <v>0</v>
      </c>
      <c r="O46" s="45"/>
    </row>
    <row r="47" spans="1:15" ht="16.5" customHeight="1" hidden="1">
      <c r="A47" s="70" t="s">
        <v>0</v>
      </c>
      <c r="B47" s="71"/>
      <c r="C47" s="71"/>
      <c r="D47" s="76"/>
      <c r="E47" s="76"/>
      <c r="F47" s="76"/>
      <c r="G47" s="68">
        <f t="shared" si="3"/>
        <v>0</v>
      </c>
      <c r="H47" s="67"/>
      <c r="I47" s="67"/>
      <c r="J47" s="67"/>
      <c r="K47" s="67"/>
      <c r="L47" s="69"/>
      <c r="M47" s="69">
        <f t="shared" si="1"/>
        <v>0</v>
      </c>
      <c r="N47" s="64">
        <v>0</v>
      </c>
      <c r="O47" s="45"/>
    </row>
    <row r="48" spans="1:15" ht="18" customHeight="1" hidden="1">
      <c r="A48" s="74" t="s">
        <v>40</v>
      </c>
      <c r="B48" s="75"/>
      <c r="C48" s="75"/>
      <c r="D48" s="72"/>
      <c r="E48" s="72"/>
      <c r="F48" s="72"/>
      <c r="G48" s="68">
        <f t="shared" si="3"/>
        <v>0</v>
      </c>
      <c r="H48" s="72"/>
      <c r="I48" s="67"/>
      <c r="J48" s="67"/>
      <c r="K48" s="67"/>
      <c r="L48" s="69"/>
      <c r="M48" s="69">
        <f t="shared" si="1"/>
        <v>0</v>
      </c>
      <c r="N48" s="64">
        <v>0</v>
      </c>
      <c r="O48" s="45"/>
    </row>
    <row r="49" spans="1:15" ht="15.75" hidden="1">
      <c r="A49" s="74" t="s">
        <v>47</v>
      </c>
      <c r="B49" s="75"/>
      <c r="C49" s="75"/>
      <c r="D49" s="72"/>
      <c r="E49" s="72"/>
      <c r="F49" s="72"/>
      <c r="G49" s="68">
        <f t="shared" si="3"/>
        <v>0</v>
      </c>
      <c r="H49" s="67"/>
      <c r="I49" s="67"/>
      <c r="J49" s="67"/>
      <c r="K49" s="67"/>
      <c r="L49" s="69"/>
      <c r="M49" s="69">
        <f t="shared" si="1"/>
        <v>0</v>
      </c>
      <c r="N49" s="64">
        <v>0</v>
      </c>
      <c r="O49" s="45"/>
    </row>
    <row r="50" spans="1:16" ht="18" customHeight="1" hidden="1">
      <c r="A50" s="74" t="s">
        <v>1</v>
      </c>
      <c r="B50" s="75"/>
      <c r="C50" s="75"/>
      <c r="D50" s="72"/>
      <c r="E50" s="72"/>
      <c r="F50" s="72"/>
      <c r="G50" s="68">
        <f t="shared" si="3"/>
        <v>0</v>
      </c>
      <c r="H50" s="67"/>
      <c r="I50" s="67"/>
      <c r="J50" s="67"/>
      <c r="K50" s="67"/>
      <c r="L50" s="69"/>
      <c r="M50" s="69">
        <f t="shared" si="1"/>
        <v>0</v>
      </c>
      <c r="N50" s="64">
        <v>0</v>
      </c>
      <c r="O50" s="45"/>
      <c r="P50" s="5"/>
    </row>
    <row r="51" spans="1:15" ht="0.75" customHeight="1" hidden="1">
      <c r="A51" s="74" t="s">
        <v>48</v>
      </c>
      <c r="B51" s="75"/>
      <c r="C51" s="75"/>
      <c r="D51" s="72"/>
      <c r="E51" s="72"/>
      <c r="F51" s="72"/>
      <c r="G51" s="68">
        <f t="shared" si="3"/>
        <v>0</v>
      </c>
      <c r="H51" s="67">
        <v>0</v>
      </c>
      <c r="I51" s="67"/>
      <c r="J51" s="67"/>
      <c r="K51" s="67"/>
      <c r="L51" s="69"/>
      <c r="M51" s="69">
        <f t="shared" si="1"/>
        <v>0</v>
      </c>
      <c r="N51" s="64">
        <v>0</v>
      </c>
      <c r="O51" s="45"/>
    </row>
    <row r="52" spans="1:15" ht="20.25" customHeight="1" hidden="1">
      <c r="A52" s="74" t="s">
        <v>49</v>
      </c>
      <c r="B52" s="75"/>
      <c r="C52" s="75"/>
      <c r="D52" s="72"/>
      <c r="E52" s="72"/>
      <c r="F52" s="72"/>
      <c r="G52" s="68">
        <f t="shared" si="3"/>
        <v>0</v>
      </c>
      <c r="H52" s="67"/>
      <c r="I52" s="67" t="e">
        <f>I6+#REF!</f>
        <v>#REF!</v>
      </c>
      <c r="J52" s="67" t="e">
        <f>J6+#REF!</f>
        <v>#REF!</v>
      </c>
      <c r="K52" s="67"/>
      <c r="L52" s="69"/>
      <c r="M52" s="69">
        <f t="shared" si="1"/>
        <v>0</v>
      </c>
      <c r="N52" s="64">
        <v>0</v>
      </c>
      <c r="O52" s="45"/>
    </row>
    <row r="53" spans="1:15" ht="15.75">
      <c r="A53" s="78" t="s">
        <v>50</v>
      </c>
      <c r="B53" s="79"/>
      <c r="C53" s="79"/>
      <c r="D53" s="67">
        <f>D6+D46</f>
        <v>4261167</v>
      </c>
      <c r="E53" s="67">
        <f>E6+E46</f>
        <v>1127036.55</v>
      </c>
      <c r="F53" s="67">
        <f>F6+F46</f>
        <v>0</v>
      </c>
      <c r="G53" s="68">
        <f t="shared" si="3"/>
        <v>5388203.55</v>
      </c>
      <c r="H53" s="67">
        <f>H6+H46</f>
        <v>3183634.86</v>
      </c>
      <c r="I53" s="67"/>
      <c r="J53" s="67"/>
      <c r="K53" s="67"/>
      <c r="L53" s="69"/>
      <c r="M53" s="69">
        <f t="shared" si="1"/>
        <v>2204568.69</v>
      </c>
      <c r="N53" s="64">
        <f t="shared" si="0"/>
        <v>59.08527453458955</v>
      </c>
      <c r="O53" s="46">
        <f>O6</f>
        <v>4107962.55</v>
      </c>
    </row>
    <row r="54" spans="1:15" ht="16.5" thickBot="1">
      <c r="A54" s="82"/>
      <c r="B54" s="83"/>
      <c r="C54" s="83"/>
      <c r="D54" s="84">
        <f>D6</f>
        <v>4261167</v>
      </c>
      <c r="E54" s="84">
        <f>E6</f>
        <v>1127036.55</v>
      </c>
      <c r="F54" s="84">
        <f>F6</f>
        <v>0</v>
      </c>
      <c r="G54" s="85">
        <f t="shared" si="3"/>
        <v>5388203.55</v>
      </c>
      <c r="H54" s="85">
        <f>H6</f>
        <v>3183634.86</v>
      </c>
      <c r="I54" s="86"/>
      <c r="J54" s="87"/>
      <c r="K54" s="87"/>
      <c r="L54" s="87"/>
      <c r="M54" s="88">
        <f>M6</f>
        <v>2154568.69</v>
      </c>
      <c r="N54" s="89">
        <f>H54/G54*100</f>
        <v>59.08527453458955</v>
      </c>
      <c r="O54" s="47">
        <f>O53</f>
        <v>4107962.55</v>
      </c>
    </row>
    <row r="55" spans="1:15" ht="15.75">
      <c r="A55" s="24" t="s">
        <v>89</v>
      </c>
      <c r="B55" s="24"/>
      <c r="C55" s="24"/>
      <c r="D55" s="90"/>
      <c r="E55" s="90"/>
      <c r="F55" s="90"/>
      <c r="G55" s="90"/>
      <c r="H55" s="90"/>
      <c r="I55" s="48"/>
      <c r="J55" s="48"/>
      <c r="K55" s="48"/>
      <c r="L55" s="48"/>
      <c r="M55" s="91"/>
      <c r="N55" s="48"/>
      <c r="O55" s="48"/>
    </row>
    <row r="56" spans="1:15" ht="15.75">
      <c r="A56" s="24"/>
      <c r="B56" s="24"/>
      <c r="C56" s="24"/>
      <c r="D56" s="90"/>
      <c r="E56" s="90"/>
      <c r="F56" s="90"/>
      <c r="G56" s="90"/>
      <c r="H56" s="90"/>
      <c r="I56" s="48"/>
      <c r="J56" s="48"/>
      <c r="K56" s="48"/>
      <c r="L56" s="48"/>
      <c r="M56" s="92" t="s">
        <v>62</v>
      </c>
      <c r="N56" s="48"/>
      <c r="O56" s="48"/>
    </row>
    <row r="57" spans="1:15" ht="15.75">
      <c r="A57" s="24"/>
      <c r="B57" s="24"/>
      <c r="C57" s="24"/>
      <c r="D57" s="90"/>
      <c r="E57" s="90"/>
      <c r="F57" s="90"/>
      <c r="G57" s="90"/>
      <c r="H57" s="90"/>
      <c r="I57" s="48"/>
      <c r="J57" s="48"/>
      <c r="K57" s="48"/>
      <c r="L57" s="48"/>
      <c r="M57" s="48"/>
      <c r="N57" s="48"/>
      <c r="O57" s="48"/>
    </row>
    <row r="58" spans="1:14" ht="12.75">
      <c r="A58" s="33" t="s">
        <v>86</v>
      </c>
      <c r="B58" s="36"/>
      <c r="C58" s="36"/>
      <c r="D58" s="34">
        <f>O54</f>
        <v>4107962.55</v>
      </c>
      <c r="E58" s="34"/>
      <c r="F58" s="36"/>
      <c r="G58" s="36"/>
      <c r="H58" s="36"/>
      <c r="I58" s="35"/>
      <c r="J58" s="35"/>
      <c r="K58" s="35"/>
      <c r="L58" s="35"/>
      <c r="M58" s="35"/>
      <c r="N58" s="35"/>
    </row>
    <row r="59" spans="1:14" ht="12.75">
      <c r="A59" s="33" t="s">
        <v>87</v>
      </c>
      <c r="B59" s="36"/>
      <c r="C59" s="36"/>
      <c r="D59" s="34">
        <f>H54</f>
        <v>3183634.86</v>
      </c>
      <c r="E59" s="34"/>
      <c r="F59" s="36"/>
      <c r="G59" s="36" t="s">
        <v>51</v>
      </c>
      <c r="H59" s="36"/>
      <c r="I59" s="35"/>
      <c r="J59" s="35"/>
      <c r="K59" s="35"/>
      <c r="L59" s="35"/>
      <c r="M59" s="35"/>
      <c r="N59" s="35"/>
    </row>
    <row r="60" spans="1:14" ht="12.75">
      <c r="A60" s="33" t="s">
        <v>63</v>
      </c>
      <c r="B60" s="36"/>
      <c r="C60" s="36"/>
      <c r="D60" s="34">
        <f>D58-D59</f>
        <v>924327.69</v>
      </c>
      <c r="E60" s="34"/>
      <c r="F60" s="36"/>
      <c r="G60" s="36"/>
      <c r="H60" s="36"/>
      <c r="I60" s="35"/>
      <c r="J60" s="35"/>
      <c r="K60" s="35"/>
      <c r="L60" s="35"/>
      <c r="M60" s="35"/>
      <c r="N60" s="35"/>
    </row>
    <row r="61" spans="1:14" ht="12.75">
      <c r="A61" s="37" t="s">
        <v>88</v>
      </c>
      <c r="B61" s="35"/>
      <c r="C61" s="35"/>
      <c r="D61" s="38">
        <v>925621.71</v>
      </c>
      <c r="E61" s="38"/>
      <c r="F61" s="35"/>
      <c r="G61" s="35"/>
      <c r="H61" s="35"/>
      <c r="I61" s="35"/>
      <c r="J61" s="35"/>
      <c r="K61" s="35"/>
      <c r="L61" s="35"/>
      <c r="M61" s="35"/>
      <c r="N61" s="35"/>
    </row>
    <row r="62" spans="1:5" ht="12.75">
      <c r="A62" s="37" t="s">
        <v>64</v>
      </c>
      <c r="D62" s="31">
        <f>D61-D60</f>
        <v>1294.0200000000186</v>
      </c>
      <c r="E62" s="31"/>
    </row>
    <row r="63" spans="4:5" ht="12.75">
      <c r="D63" s="31"/>
      <c r="E63" s="31"/>
    </row>
    <row r="64" spans="1:5" ht="12.75">
      <c r="A64" s="37" t="s">
        <v>91</v>
      </c>
      <c r="D64" s="1">
        <v>8172.08</v>
      </c>
      <c r="E64" s="39"/>
    </row>
    <row r="65" spans="1:4" ht="12.75">
      <c r="A65" s="37" t="s">
        <v>92</v>
      </c>
      <c r="D65" s="1">
        <v>2876.59</v>
      </c>
    </row>
    <row r="66" ht="12.75">
      <c r="D66" s="40"/>
    </row>
    <row r="67" ht="12.75">
      <c r="A67" s="37" t="s">
        <v>74</v>
      </c>
    </row>
    <row r="68" ht="12.75">
      <c r="A68" s="37" t="s">
        <v>83</v>
      </c>
    </row>
    <row r="69" ht="12.75">
      <c r="A69" s="37" t="s">
        <v>84</v>
      </c>
    </row>
    <row r="70" ht="12.75">
      <c r="A70" s="37" t="s">
        <v>85</v>
      </c>
    </row>
  </sheetData>
  <sheetProtection/>
  <mergeCells count="1">
    <mergeCell ref="A3:L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0">
      <selection activeCell="K14" sqref="K14"/>
    </sheetView>
  </sheetViews>
  <sheetFormatPr defaultColWidth="9.140625" defaultRowHeight="12.75"/>
  <cols>
    <col min="2" max="2" width="15.8515625" style="0" bestFit="1" customWidth="1"/>
    <col min="3" max="13" width="16.8515625" style="0" bestFit="1" customWidth="1"/>
  </cols>
  <sheetData>
    <row r="1" spans="1:5" ht="12.75">
      <c r="A1" t="s">
        <v>2</v>
      </c>
      <c r="B1" s="31">
        <v>2510470</v>
      </c>
      <c r="C1" s="31">
        <f>B1/12</f>
        <v>209205.83333333334</v>
      </c>
      <c r="D1" s="10"/>
      <c r="E1" s="10"/>
    </row>
    <row r="3" spans="1:13" ht="12.75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 ht="12.75">
      <c r="A4" t="s">
        <v>4</v>
      </c>
      <c r="B4" s="16">
        <f>C1</f>
        <v>209205.83333333334</v>
      </c>
      <c r="C4" s="16">
        <f>C1*2</f>
        <v>418411.6666666667</v>
      </c>
      <c r="D4" s="16">
        <f>C1*3</f>
        <v>627617.5</v>
      </c>
      <c r="E4" s="16">
        <f>C1*4</f>
        <v>836823.3333333334</v>
      </c>
      <c r="F4" s="16">
        <f>C1*5</f>
        <v>1046029.1666666667</v>
      </c>
      <c r="G4" s="16">
        <f>C1*6</f>
        <v>1255235</v>
      </c>
      <c r="H4" s="16">
        <f>C1*7</f>
        <v>1464440.8333333335</v>
      </c>
      <c r="I4" s="16">
        <f>C1*8</f>
        <v>1673646.6666666667</v>
      </c>
      <c r="J4" s="16">
        <f>C1*9</f>
        <v>1882852.5</v>
      </c>
      <c r="K4" s="16">
        <f>C1*10</f>
        <v>2092058.3333333335</v>
      </c>
      <c r="L4" s="16">
        <f>C1*11</f>
        <v>2301264.166666667</v>
      </c>
      <c r="M4" s="16">
        <f>C1*12</f>
        <v>2510470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t="s">
        <v>22</v>
      </c>
      <c r="B5" s="16">
        <v>84636.92</v>
      </c>
      <c r="C5" s="16">
        <v>293605.21</v>
      </c>
      <c r="D5" s="16">
        <v>483970.83</v>
      </c>
      <c r="E5" s="16">
        <v>684522.02</v>
      </c>
      <c r="F5" s="16">
        <v>877557.21</v>
      </c>
      <c r="G5" s="16">
        <v>1072314.94</v>
      </c>
      <c r="H5" s="16">
        <v>1253133.39</v>
      </c>
      <c r="I5" s="16">
        <v>1438002.45</v>
      </c>
      <c r="J5" s="16"/>
      <c r="K5" s="16"/>
      <c r="L5" s="1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3" ht="12.75">
      <c r="A25" s="9" t="s">
        <v>18</v>
      </c>
      <c r="B25" s="9">
        <v>192267</v>
      </c>
      <c r="C25" s="9">
        <f>B25/12</f>
        <v>16022.25</v>
      </c>
    </row>
    <row r="27" spans="1:13" ht="12.75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 ht="12.75">
      <c r="A28" t="s">
        <v>4</v>
      </c>
      <c r="B28" s="16">
        <f>C25</f>
        <v>16022.25</v>
      </c>
      <c r="C28" s="16">
        <f>C25*2</f>
        <v>32044.5</v>
      </c>
      <c r="D28" s="16">
        <f>C25*3</f>
        <v>48066.75</v>
      </c>
      <c r="E28" s="16">
        <f>C25*4</f>
        <v>64089</v>
      </c>
      <c r="F28" s="16">
        <f>C25*5</f>
        <v>80111.25</v>
      </c>
      <c r="G28" s="16">
        <f>C25*6</f>
        <v>96133.5</v>
      </c>
      <c r="H28" s="16">
        <f>C25*7</f>
        <v>112155.75</v>
      </c>
      <c r="I28" s="16">
        <f>C25*8</f>
        <v>128178</v>
      </c>
      <c r="J28" s="16">
        <f>C25*9</f>
        <v>144200.25</v>
      </c>
      <c r="K28" s="16">
        <f>C25*10</f>
        <v>160222.5</v>
      </c>
      <c r="L28" s="16">
        <f>C25*11</f>
        <v>176244.75</v>
      </c>
      <c r="M28" s="16">
        <f>C25*12</f>
        <v>192267</v>
      </c>
      <c r="N28" s="2"/>
      <c r="O28" s="2"/>
      <c r="P28" s="2"/>
      <c r="Q28" s="2"/>
      <c r="R28" s="2"/>
      <c r="S28" s="2"/>
      <c r="T28" s="2"/>
      <c r="U28" s="2"/>
    </row>
    <row r="29" spans="1:12" ht="12.75">
      <c r="A29" t="s">
        <v>17</v>
      </c>
      <c r="B29" s="16">
        <v>0</v>
      </c>
      <c r="C29" s="16">
        <v>0</v>
      </c>
      <c r="D29" s="16">
        <v>11847.44</v>
      </c>
      <c r="E29" s="17">
        <v>25791.88</v>
      </c>
      <c r="F29" s="17">
        <v>40020.48</v>
      </c>
      <c r="G29" s="17">
        <v>55349.08</v>
      </c>
      <c r="H29" s="17">
        <v>82329.98</v>
      </c>
      <c r="I29" s="17">
        <v>95754.88</v>
      </c>
      <c r="J29" s="17"/>
      <c r="K29" s="17"/>
      <c r="L29" s="17"/>
    </row>
    <row r="30" ht="12.75">
      <c r="E3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2.8515625" style="0" customWidth="1"/>
    <col min="2" max="8" width="15.8515625" style="0" bestFit="1" customWidth="1"/>
    <col min="9" max="13" width="16.8515625" style="0" bestFit="1" customWidth="1"/>
  </cols>
  <sheetData>
    <row r="1" spans="1:3" ht="12.75">
      <c r="A1" t="s">
        <v>19</v>
      </c>
      <c r="B1" s="7">
        <v>330998</v>
      </c>
      <c r="C1">
        <f>B1/12</f>
        <v>27583.166666666668</v>
      </c>
    </row>
    <row r="4" spans="1:13" ht="12.75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12.75">
      <c r="A5" t="s">
        <v>20</v>
      </c>
      <c r="B5" s="16">
        <f>C1</f>
        <v>27583.166666666668</v>
      </c>
      <c r="C5" s="16">
        <f>C1*2</f>
        <v>55166.333333333336</v>
      </c>
      <c r="D5" s="16">
        <f>C1*3</f>
        <v>82749.5</v>
      </c>
      <c r="E5" s="16">
        <f>C1*4</f>
        <v>110332.66666666667</v>
      </c>
      <c r="F5" s="16">
        <f>C1*5</f>
        <v>137915.83333333334</v>
      </c>
      <c r="G5" s="16">
        <f>C1*6</f>
        <v>165499</v>
      </c>
      <c r="H5" s="16">
        <f>C1*7</f>
        <v>193082.1666666667</v>
      </c>
      <c r="I5" s="16">
        <f>C1*8</f>
        <v>220665.33333333334</v>
      </c>
      <c r="J5" s="16">
        <f>C1*9</f>
        <v>248248.5</v>
      </c>
      <c r="K5" s="16">
        <f>C1*10</f>
        <v>275831.6666666667</v>
      </c>
      <c r="L5" s="16">
        <f>C1*11</f>
        <v>303414.8333333334</v>
      </c>
      <c r="M5" s="16">
        <f>C1*12</f>
        <v>330998</v>
      </c>
    </row>
    <row r="6" spans="1:13" ht="12.75">
      <c r="A6" t="s">
        <v>17</v>
      </c>
      <c r="B6" s="13">
        <v>7346.5</v>
      </c>
      <c r="C6" s="13">
        <v>80248.42</v>
      </c>
      <c r="D6" s="13">
        <v>146469.01</v>
      </c>
      <c r="E6" s="13">
        <v>163950.52</v>
      </c>
      <c r="F6" s="32">
        <v>165175.73</v>
      </c>
      <c r="G6" s="13">
        <v>190963.34</v>
      </c>
      <c r="H6" s="13">
        <v>222958.65</v>
      </c>
      <c r="I6" s="13">
        <v>272331.71</v>
      </c>
      <c r="J6" s="13">
        <v>305279.44</v>
      </c>
      <c r="K6" s="13"/>
      <c r="L6" s="13"/>
      <c r="M6" s="13"/>
    </row>
    <row r="29" spans="1:3" ht="12.75">
      <c r="A29" t="s">
        <v>21</v>
      </c>
      <c r="B29" s="7">
        <v>5000</v>
      </c>
      <c r="C29">
        <f>B29/12</f>
        <v>416.6666666666667</v>
      </c>
    </row>
    <row r="31" spans="1:13" ht="12.75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 ht="12.75">
      <c r="A32" t="s">
        <v>20</v>
      </c>
      <c r="B32" s="1">
        <f>C29</f>
        <v>416.6666666666667</v>
      </c>
      <c r="C32" s="1">
        <f>C29*2</f>
        <v>833.3333333333334</v>
      </c>
      <c r="D32" s="1">
        <f>C29*3</f>
        <v>1250</v>
      </c>
      <c r="E32" s="1">
        <f>C29*4</f>
        <v>1666.6666666666667</v>
      </c>
      <c r="F32" s="1">
        <f>C29*5</f>
        <v>2083.3333333333335</v>
      </c>
      <c r="G32" s="1">
        <f>C29*6</f>
        <v>2500</v>
      </c>
      <c r="H32" s="1">
        <f>C29*7</f>
        <v>2916.666666666667</v>
      </c>
      <c r="I32" s="1">
        <f>C29*8</f>
        <v>3333.3333333333335</v>
      </c>
      <c r="J32" s="1">
        <f>C29*9</f>
        <v>3750</v>
      </c>
      <c r="K32" s="1">
        <f>C29*10</f>
        <v>4166.666666666667</v>
      </c>
      <c r="L32" s="1">
        <f>C29*11</f>
        <v>4583.333333333334</v>
      </c>
      <c r="M32" s="1">
        <f>C29*12</f>
        <v>5000</v>
      </c>
    </row>
    <row r="33" spans="1:13" ht="12.75">
      <c r="A33" t="s">
        <v>17</v>
      </c>
      <c r="B33">
        <v>0</v>
      </c>
      <c r="C33">
        <v>256.36</v>
      </c>
      <c r="D33" s="2">
        <v>520.79</v>
      </c>
      <c r="E33" s="1">
        <v>929.66</v>
      </c>
      <c r="F33" s="1">
        <v>1309.33</v>
      </c>
      <c r="G33" s="13">
        <v>1886.88</v>
      </c>
      <c r="H33" s="13">
        <v>2442.68</v>
      </c>
      <c r="I33" s="13">
        <v>3025.66</v>
      </c>
      <c r="J33" s="13">
        <v>3484.5</v>
      </c>
      <c r="K33" s="13"/>
      <c r="L33" s="13"/>
      <c r="M33" s="13"/>
    </row>
    <row r="34" spans="7:9" ht="12.75">
      <c r="G34" s="12"/>
      <c r="I34" s="14"/>
    </row>
    <row r="37" ht="12.75">
      <c r="H37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0.13671875" style="0" customWidth="1"/>
    <col min="2" max="2" width="36.421875" style="0" hidden="1" customWidth="1"/>
    <col min="3" max="3" width="25.57421875" style="0" hidden="1" customWidth="1"/>
    <col min="4" max="5" width="28.7109375" style="0" hidden="1" customWidth="1"/>
    <col min="6" max="6" width="34.140625" style="0" customWidth="1"/>
    <col min="7" max="7" width="17.28125" style="0" customWidth="1"/>
    <col min="8" max="8" width="16.8515625" style="0" bestFit="1" customWidth="1"/>
    <col min="9" max="9" width="17.00390625" style="0" customWidth="1"/>
    <col min="10" max="10" width="15.421875" style="0" customWidth="1"/>
    <col min="11" max="11" width="19.00390625" style="0" customWidth="1"/>
  </cols>
  <sheetData>
    <row r="2" spans="2:6" s="5" customFormat="1" ht="15.75">
      <c r="B2" s="109"/>
      <c r="C2" s="109"/>
      <c r="D2" s="109"/>
      <c r="E2" s="109"/>
      <c r="F2" s="109"/>
    </row>
    <row r="3" spans="4:5" s="5" customFormat="1" ht="12.75">
      <c r="D3" s="18"/>
      <c r="E3" s="18"/>
    </row>
    <row r="4" spans="2:6" s="5" customFormat="1" ht="12.75">
      <c r="B4" s="20"/>
      <c r="C4" s="3"/>
      <c r="D4" s="21"/>
      <c r="E4" s="21"/>
      <c r="F4" s="8"/>
    </row>
    <row r="5" spans="3:6" s="5" customFormat="1" ht="12.75">
      <c r="C5" s="19"/>
      <c r="D5" s="22"/>
      <c r="E5" s="22"/>
      <c r="F5" s="8"/>
    </row>
    <row r="6" spans="3:6" s="5" customFormat="1" ht="12.75">
      <c r="C6" s="19"/>
      <c r="D6" s="22"/>
      <c r="E6" s="22"/>
      <c r="F6" s="8"/>
    </row>
    <row r="7" spans="3:6" s="5" customFormat="1" ht="12.75">
      <c r="C7" s="19"/>
      <c r="D7" s="22"/>
      <c r="E7" s="22"/>
      <c r="F7" s="8"/>
    </row>
    <row r="8" spans="3:6" s="5" customFormat="1" ht="12.75">
      <c r="C8" s="19"/>
      <c r="D8" s="22"/>
      <c r="E8" s="22"/>
      <c r="F8" s="8"/>
    </row>
    <row r="9" spans="3:6" s="5" customFormat="1" ht="0.75" customHeight="1">
      <c r="C9" s="19"/>
      <c r="D9" s="22"/>
      <c r="E9" s="22"/>
      <c r="F9" s="8"/>
    </row>
    <row r="10" spans="3:11" s="5" customFormat="1" ht="12.75" hidden="1">
      <c r="C10" s="19"/>
      <c r="D10" s="3"/>
      <c r="E10" s="3"/>
      <c r="F10" s="109"/>
      <c r="G10" s="110"/>
      <c r="H10" s="110"/>
      <c r="I10" s="110"/>
      <c r="J10" s="110"/>
      <c r="K10" s="110"/>
    </row>
    <row r="11" spans="3:11" s="5" customFormat="1" ht="12.75" hidden="1">
      <c r="C11" s="19"/>
      <c r="D11" s="22"/>
      <c r="E11" s="22"/>
      <c r="F11" s="110"/>
      <c r="G11" s="110"/>
      <c r="H11" s="110"/>
      <c r="I11" s="110"/>
      <c r="J11" s="110"/>
      <c r="K11" s="110"/>
    </row>
    <row r="12" spans="3:23" s="5" customFormat="1" ht="12.75">
      <c r="C12" s="8"/>
      <c r="D12" s="3"/>
      <c r="E12" s="3"/>
      <c r="G12" s="26"/>
      <c r="H12" s="3"/>
      <c r="I12" s="3"/>
      <c r="J12" s="3"/>
      <c r="K12" s="3"/>
      <c r="Q12" s="109"/>
      <c r="R12" s="110"/>
      <c r="S12" s="110"/>
      <c r="T12" s="110"/>
      <c r="U12" s="110"/>
      <c r="V12" s="110"/>
      <c r="W12" s="110"/>
    </row>
    <row r="13" spans="2:23" s="5" customFormat="1" ht="12.75">
      <c r="B13" s="20"/>
      <c r="D13" s="3"/>
      <c r="E13" s="3"/>
      <c r="F13" s="20"/>
      <c r="G13" s="3"/>
      <c r="H13" s="3"/>
      <c r="I13" s="3"/>
      <c r="J13" s="3"/>
      <c r="K13" s="3"/>
      <c r="Q13" s="110"/>
      <c r="R13" s="110"/>
      <c r="S13" s="110"/>
      <c r="T13" s="110"/>
      <c r="U13" s="110"/>
      <c r="V13" s="110"/>
      <c r="W13" s="110"/>
    </row>
    <row r="14" spans="3:23" s="5" customFormat="1" ht="12.75">
      <c r="C14" s="18"/>
      <c r="D14" s="22"/>
      <c r="E14" s="22"/>
      <c r="G14" s="3"/>
      <c r="H14" s="3"/>
      <c r="I14" s="3"/>
      <c r="J14" s="3"/>
      <c r="K14" s="3"/>
      <c r="R14" s="26"/>
      <c r="S14" s="3"/>
      <c r="T14" s="3"/>
      <c r="U14" s="3"/>
      <c r="V14" s="3"/>
      <c r="W14" s="3"/>
    </row>
    <row r="15" spans="3:23" s="5" customFormat="1" ht="12.75">
      <c r="C15" s="19"/>
      <c r="D15" s="22"/>
      <c r="E15" s="22"/>
      <c r="F15" s="20"/>
      <c r="G15" s="3"/>
      <c r="H15" s="3"/>
      <c r="I15" s="3"/>
      <c r="J15" s="3"/>
      <c r="K15" s="3"/>
      <c r="Q15" s="20"/>
      <c r="R15" s="3"/>
      <c r="S15" s="3"/>
      <c r="T15" s="3"/>
      <c r="U15" s="3"/>
      <c r="V15" s="3"/>
      <c r="W15" s="3"/>
    </row>
    <row r="16" spans="3:23" s="5" customFormat="1" ht="12.75">
      <c r="C16" s="19"/>
      <c r="D16" s="22"/>
      <c r="E16" s="22"/>
      <c r="G16" s="18"/>
      <c r="H16" s="22"/>
      <c r="I16" s="22"/>
      <c r="J16" s="22"/>
      <c r="K16" s="3"/>
      <c r="R16" s="3"/>
      <c r="S16" s="3"/>
      <c r="T16" s="3"/>
      <c r="U16" s="3"/>
      <c r="V16" s="3"/>
      <c r="W16" s="3"/>
    </row>
    <row r="17" spans="3:23" s="5" customFormat="1" ht="12.75">
      <c r="C17" s="19"/>
      <c r="D17" s="22"/>
      <c r="E17" s="22"/>
      <c r="G17" s="18"/>
      <c r="H17" s="22"/>
      <c r="I17" s="22"/>
      <c r="J17" s="22"/>
      <c r="K17" s="3"/>
      <c r="Q17" s="20"/>
      <c r="R17" s="3"/>
      <c r="S17" s="3"/>
      <c r="T17" s="3"/>
      <c r="U17" s="3"/>
      <c r="V17" s="3"/>
      <c r="W17" s="3"/>
    </row>
    <row r="18" spans="3:23" s="5" customFormat="1" ht="12.75">
      <c r="C18" s="19"/>
      <c r="D18" s="22"/>
      <c r="E18" s="22"/>
      <c r="G18" s="18"/>
      <c r="H18" s="22"/>
      <c r="I18" s="22"/>
      <c r="J18" s="22"/>
      <c r="K18" s="3"/>
      <c r="R18" s="18"/>
      <c r="S18" s="22"/>
      <c r="T18" s="22"/>
      <c r="U18" s="22"/>
      <c r="V18" s="22"/>
      <c r="W18" s="3"/>
    </row>
    <row r="19" spans="3:23" s="5" customFormat="1" ht="12.75">
      <c r="C19" s="19"/>
      <c r="D19" s="22"/>
      <c r="E19" s="22"/>
      <c r="G19" s="18"/>
      <c r="H19" s="22"/>
      <c r="I19" s="22"/>
      <c r="J19" s="22"/>
      <c r="K19" s="3"/>
      <c r="R19" s="18"/>
      <c r="S19" s="22"/>
      <c r="T19" s="22"/>
      <c r="U19" s="22"/>
      <c r="V19" s="22"/>
      <c r="W19" s="3"/>
    </row>
    <row r="20" spans="3:23" s="5" customFormat="1" ht="12.75">
      <c r="C20" s="19"/>
      <c r="D20" s="22"/>
      <c r="E20" s="22"/>
      <c r="F20" s="4"/>
      <c r="G20" s="18"/>
      <c r="H20" s="22"/>
      <c r="I20" s="22"/>
      <c r="J20" s="22"/>
      <c r="K20" s="3"/>
      <c r="R20" s="18"/>
      <c r="S20" s="22"/>
      <c r="T20" s="22"/>
      <c r="U20" s="22"/>
      <c r="V20" s="22"/>
      <c r="W20" s="3"/>
    </row>
    <row r="21" spans="3:23" s="5" customFormat="1" ht="12.75">
      <c r="C21" s="19"/>
      <c r="D21" s="22"/>
      <c r="E21" s="22"/>
      <c r="F21" s="4"/>
      <c r="G21" s="18"/>
      <c r="H21" s="22"/>
      <c r="I21" s="22"/>
      <c r="J21" s="22"/>
      <c r="K21" s="3"/>
      <c r="R21" s="18"/>
      <c r="S21" s="22"/>
      <c r="T21" s="22"/>
      <c r="U21" s="22"/>
      <c r="V21" s="22"/>
      <c r="W21" s="3"/>
    </row>
    <row r="22" spans="3:23" s="5" customFormat="1" ht="12.75">
      <c r="C22" s="19"/>
      <c r="D22" s="22"/>
      <c r="E22" s="22"/>
      <c r="F22" s="20"/>
      <c r="G22" s="3"/>
      <c r="H22" s="22"/>
      <c r="I22" s="22"/>
      <c r="J22" s="22"/>
      <c r="K22" s="3"/>
      <c r="R22" s="18"/>
      <c r="S22" s="22"/>
      <c r="T22" s="22"/>
      <c r="U22" s="22"/>
      <c r="V22" s="22"/>
      <c r="W22" s="3"/>
    </row>
    <row r="23" spans="3:23" s="5" customFormat="1" ht="12.75">
      <c r="C23" s="19"/>
      <c r="D23" s="22"/>
      <c r="E23" s="22"/>
      <c r="F23" s="20"/>
      <c r="G23" s="3"/>
      <c r="H23" s="3"/>
      <c r="I23" s="3"/>
      <c r="J23" s="22"/>
      <c r="K23" s="3"/>
      <c r="R23" s="18"/>
      <c r="S23" s="22"/>
      <c r="T23" s="22"/>
      <c r="U23" s="22"/>
      <c r="V23" s="22"/>
      <c r="W23" s="3"/>
    </row>
    <row r="24" spans="3:23" s="5" customFormat="1" ht="12.75">
      <c r="C24" s="19"/>
      <c r="D24" s="22"/>
      <c r="E24" s="22"/>
      <c r="F24" s="4"/>
      <c r="G24" s="18"/>
      <c r="H24" s="22"/>
      <c r="I24" s="22"/>
      <c r="J24" s="22"/>
      <c r="K24" s="3"/>
      <c r="R24" s="18"/>
      <c r="S24" s="22"/>
      <c r="T24" s="22"/>
      <c r="U24" s="22"/>
      <c r="V24" s="22"/>
      <c r="W24" s="3"/>
    </row>
    <row r="25" spans="3:23" s="5" customFormat="1" ht="12.75">
      <c r="C25" s="19"/>
      <c r="D25" s="3"/>
      <c r="E25" s="3"/>
      <c r="F25" s="4"/>
      <c r="G25" s="18"/>
      <c r="H25" s="22"/>
      <c r="I25" s="22"/>
      <c r="J25" s="3"/>
      <c r="K25" s="3"/>
      <c r="R25" s="18"/>
      <c r="S25" s="22"/>
      <c r="T25" s="22"/>
      <c r="U25" s="22"/>
      <c r="V25" s="22"/>
      <c r="W25" s="3"/>
    </row>
    <row r="26" spans="3:23" s="5" customFormat="1" ht="12.75">
      <c r="C26" s="19"/>
      <c r="D26" s="3"/>
      <c r="E26" s="3"/>
      <c r="F26" s="20"/>
      <c r="G26" s="3"/>
      <c r="H26" s="3"/>
      <c r="I26" s="3"/>
      <c r="J26" s="22"/>
      <c r="K26" s="3"/>
      <c r="Q26" s="20"/>
      <c r="R26" s="3"/>
      <c r="S26" s="22"/>
      <c r="T26" s="22"/>
      <c r="U26" s="22"/>
      <c r="V26" s="22"/>
      <c r="W26" s="3"/>
    </row>
    <row r="27" spans="3:23" s="5" customFormat="1" ht="12.75">
      <c r="C27" s="8"/>
      <c r="D27" s="3"/>
      <c r="E27" s="3"/>
      <c r="F27" s="4"/>
      <c r="G27" s="19"/>
      <c r="H27" s="19"/>
      <c r="I27" s="19"/>
      <c r="J27" s="22"/>
      <c r="K27" s="3"/>
      <c r="Q27" s="20"/>
      <c r="R27" s="3"/>
      <c r="S27" s="3"/>
      <c r="T27" s="3"/>
      <c r="U27" s="3"/>
      <c r="V27" s="3"/>
      <c r="W27" s="3"/>
    </row>
    <row r="28" spans="2:23" s="5" customFormat="1" ht="12.75">
      <c r="B28" s="20"/>
      <c r="C28" s="3"/>
      <c r="D28" s="3"/>
      <c r="E28" s="3"/>
      <c r="F28" s="4"/>
      <c r="G28" s="19"/>
      <c r="H28" s="22"/>
      <c r="I28" s="22"/>
      <c r="J28" s="3"/>
      <c r="K28" s="3"/>
      <c r="Q28" s="4"/>
      <c r="R28" s="18"/>
      <c r="S28" s="3"/>
      <c r="T28" s="22"/>
      <c r="U28" s="22"/>
      <c r="V28" s="22"/>
      <c r="W28" s="3"/>
    </row>
    <row r="29" spans="4:23" s="5" customFormat="1" ht="12.75" hidden="1">
      <c r="D29" s="3"/>
      <c r="E29" s="3"/>
      <c r="F29" s="4"/>
      <c r="G29" s="19"/>
      <c r="H29" s="22"/>
      <c r="I29" s="22"/>
      <c r="J29" s="19"/>
      <c r="K29" s="3"/>
      <c r="Q29" s="4"/>
      <c r="R29" s="18"/>
      <c r="S29" s="22"/>
      <c r="T29" s="22"/>
      <c r="U29" s="22"/>
      <c r="V29" s="22"/>
      <c r="W29" s="3"/>
    </row>
    <row r="30" spans="4:23" s="5" customFormat="1" ht="12.75">
      <c r="D30" s="3"/>
      <c r="E30" s="3"/>
      <c r="F30" s="4"/>
      <c r="G30" s="19"/>
      <c r="H30" s="22"/>
      <c r="I30" s="22"/>
      <c r="J30" s="22"/>
      <c r="K30" s="3"/>
      <c r="Q30" s="20"/>
      <c r="R30" s="3"/>
      <c r="S30" s="3"/>
      <c r="T30" s="3"/>
      <c r="U30" s="3"/>
      <c r="V30" s="3"/>
      <c r="W30" s="3"/>
    </row>
    <row r="31" spans="2:23" s="5" customFormat="1" ht="12.75">
      <c r="B31" s="20"/>
      <c r="C31" s="3"/>
      <c r="D31" s="3"/>
      <c r="E31" s="3"/>
      <c r="F31" s="4"/>
      <c r="G31" s="19"/>
      <c r="H31" s="22"/>
      <c r="I31" s="22"/>
      <c r="J31" s="22"/>
      <c r="K31" s="3"/>
      <c r="Q31" s="4"/>
      <c r="R31" s="19"/>
      <c r="S31" s="19"/>
      <c r="T31" s="19"/>
      <c r="U31" s="19"/>
      <c r="V31" s="19"/>
      <c r="W31" s="3"/>
    </row>
    <row r="32" spans="3:23" s="5" customFormat="1" ht="12.75">
      <c r="C32" s="19"/>
      <c r="D32" s="22"/>
      <c r="E32" s="22"/>
      <c r="F32" s="4"/>
      <c r="G32" s="19"/>
      <c r="H32" s="22"/>
      <c r="I32" s="22"/>
      <c r="J32" s="22"/>
      <c r="K32" s="3"/>
      <c r="Q32" s="4"/>
      <c r="R32" s="19"/>
      <c r="S32" s="22"/>
      <c r="T32" s="22"/>
      <c r="U32" s="22"/>
      <c r="V32" s="22"/>
      <c r="W32" s="3"/>
    </row>
    <row r="33" spans="3:23" s="5" customFormat="1" ht="12.75">
      <c r="C33" s="19"/>
      <c r="D33" s="22"/>
      <c r="E33" s="22"/>
      <c r="F33" s="4"/>
      <c r="G33" s="18"/>
      <c r="H33" s="22"/>
      <c r="I33" s="22"/>
      <c r="J33" s="22"/>
      <c r="K33" s="3"/>
      <c r="Q33" s="4"/>
      <c r="R33" s="19"/>
      <c r="S33" s="22"/>
      <c r="T33" s="22"/>
      <c r="U33" s="22"/>
      <c r="V33" s="22"/>
      <c r="W33" s="3"/>
    </row>
    <row r="34" spans="3:23" s="5" customFormat="1" ht="12.75">
      <c r="C34" s="19"/>
      <c r="D34" s="22"/>
      <c r="E34" s="22"/>
      <c r="F34" s="4"/>
      <c r="G34" s="18"/>
      <c r="H34" s="22"/>
      <c r="I34" s="22"/>
      <c r="J34" s="22"/>
      <c r="K34" s="3"/>
      <c r="Q34" s="4"/>
      <c r="R34" s="19"/>
      <c r="S34" s="22"/>
      <c r="T34" s="22"/>
      <c r="U34" s="22"/>
      <c r="V34" s="22"/>
      <c r="W34" s="3"/>
    </row>
    <row r="35" spans="3:23" s="5" customFormat="1" ht="12.75">
      <c r="C35" s="19"/>
      <c r="D35" s="22"/>
      <c r="E35" s="22"/>
      <c r="F35" s="4"/>
      <c r="G35" s="18"/>
      <c r="H35" s="22"/>
      <c r="I35" s="22"/>
      <c r="J35" s="22"/>
      <c r="K35" s="3"/>
      <c r="Q35" s="4"/>
      <c r="R35" s="19"/>
      <c r="S35" s="22"/>
      <c r="T35" s="22"/>
      <c r="U35" s="22"/>
      <c r="V35" s="22"/>
      <c r="W35" s="3"/>
    </row>
    <row r="36" spans="3:23" s="5" customFormat="1" ht="12.75">
      <c r="C36" s="19"/>
      <c r="D36" s="3"/>
      <c r="E36" s="3"/>
      <c r="F36" s="4"/>
      <c r="G36" s="18"/>
      <c r="H36" s="3"/>
      <c r="I36" s="3"/>
      <c r="J36" s="22"/>
      <c r="K36" s="3"/>
      <c r="Q36" s="4"/>
      <c r="R36" s="19"/>
      <c r="S36" s="22"/>
      <c r="T36" s="22"/>
      <c r="U36" s="22"/>
      <c r="V36" s="22"/>
      <c r="W36" s="3"/>
    </row>
    <row r="37" spans="3:23" s="5" customFormat="1" ht="12.75">
      <c r="C37" s="8"/>
      <c r="D37" s="3"/>
      <c r="E37" s="3"/>
      <c r="F37" s="20"/>
      <c r="G37" s="3"/>
      <c r="H37" s="22"/>
      <c r="I37" s="22"/>
      <c r="J37" s="22"/>
      <c r="K37" s="3"/>
      <c r="Q37" s="4"/>
      <c r="R37" s="18"/>
      <c r="S37" s="22"/>
      <c r="T37" s="22"/>
      <c r="U37" s="22"/>
      <c r="V37" s="22"/>
      <c r="W37" s="3"/>
    </row>
    <row r="38" spans="3:23" s="5" customFormat="1" ht="12.75">
      <c r="C38" s="23"/>
      <c r="D38" s="3"/>
      <c r="E38" s="3"/>
      <c r="F38" s="27"/>
      <c r="G38" s="3"/>
      <c r="H38" s="3"/>
      <c r="I38" s="3"/>
      <c r="J38" s="3"/>
      <c r="K38" s="3"/>
      <c r="Q38" s="4" t="s">
        <v>51</v>
      </c>
      <c r="R38" s="18"/>
      <c r="S38" s="22"/>
      <c r="T38" s="22"/>
      <c r="U38" s="22"/>
      <c r="V38" s="22"/>
      <c r="W38" s="3"/>
    </row>
    <row r="39" spans="2:23" s="5" customFormat="1" ht="12.75">
      <c r="B39" s="20"/>
      <c r="C39" s="3"/>
      <c r="D39" s="3"/>
      <c r="E39" s="3"/>
      <c r="F39" s="4"/>
      <c r="G39" s="19"/>
      <c r="H39" s="3"/>
      <c r="I39" s="3"/>
      <c r="J39" s="22"/>
      <c r="K39" s="22"/>
      <c r="Q39" s="4"/>
      <c r="R39" s="18"/>
      <c r="S39" s="22"/>
      <c r="T39" s="22"/>
      <c r="U39" s="22"/>
      <c r="V39" s="22"/>
      <c r="W39" s="3"/>
    </row>
    <row r="40" spans="4:23" s="5" customFormat="1" ht="12.75">
      <c r="D40" s="22"/>
      <c r="E40" s="22"/>
      <c r="F40" s="4"/>
      <c r="G40" s="19"/>
      <c r="H40" s="3"/>
      <c r="I40" s="3"/>
      <c r="J40" s="3"/>
      <c r="K40" s="3"/>
      <c r="Q40" s="4"/>
      <c r="R40" s="18"/>
      <c r="S40" s="3"/>
      <c r="T40" s="3"/>
      <c r="U40" s="3"/>
      <c r="V40" s="3"/>
      <c r="W40" s="3"/>
    </row>
    <row r="41" spans="2:23" s="5" customFormat="1" ht="12.75">
      <c r="B41" s="20"/>
      <c r="D41" s="3"/>
      <c r="E41" s="3"/>
      <c r="F41" s="4"/>
      <c r="G41" s="23"/>
      <c r="H41" s="23"/>
      <c r="I41" s="23"/>
      <c r="J41" s="3"/>
      <c r="K41" s="3"/>
      <c r="Q41" s="20"/>
      <c r="R41" s="3"/>
      <c r="S41" s="3"/>
      <c r="T41" s="22"/>
      <c r="U41" s="22"/>
      <c r="V41" s="22"/>
      <c r="W41" s="22"/>
    </row>
    <row r="42" spans="2:23" s="5" customFormat="1" ht="15.75">
      <c r="B42" s="24"/>
      <c r="C42" s="3"/>
      <c r="D42" s="3"/>
      <c r="E42" s="3"/>
      <c r="F42" s="4"/>
      <c r="G42" s="19"/>
      <c r="H42" s="22"/>
      <c r="I42" s="22"/>
      <c r="J42" s="3"/>
      <c r="K42" s="3"/>
      <c r="Q42" s="27"/>
      <c r="R42" s="3"/>
      <c r="S42" s="3"/>
      <c r="T42" s="3"/>
      <c r="U42" s="3"/>
      <c r="V42" s="3"/>
      <c r="W42" s="3"/>
    </row>
    <row r="43" spans="4:23" s="5" customFormat="1" ht="12.75">
      <c r="D43" s="3"/>
      <c r="E43" s="3"/>
      <c r="F43" s="4"/>
      <c r="G43" s="19"/>
      <c r="H43" s="22"/>
      <c r="I43" s="3"/>
      <c r="J43" s="23"/>
      <c r="K43" s="3"/>
      <c r="Q43" s="4"/>
      <c r="R43" s="19"/>
      <c r="S43" s="3"/>
      <c r="T43" s="3"/>
      <c r="U43" s="3"/>
      <c r="V43" s="3"/>
      <c r="W43" s="3"/>
    </row>
    <row r="44" spans="3:23" s="5" customFormat="1" ht="12.75">
      <c r="C44" s="19"/>
      <c r="D44" s="3"/>
      <c r="E44" s="3"/>
      <c r="F44" s="20"/>
      <c r="G44" s="3"/>
      <c r="H44" s="3"/>
      <c r="I44" s="3"/>
      <c r="J44" s="22"/>
      <c r="K44" s="3"/>
      <c r="Q44" s="4"/>
      <c r="R44" s="19"/>
      <c r="S44" s="3"/>
      <c r="T44" s="3"/>
      <c r="U44" s="3"/>
      <c r="V44" s="3"/>
      <c r="W44" s="3"/>
    </row>
    <row r="45" spans="3:23" s="5" customFormat="1" ht="12.75">
      <c r="C45" s="18"/>
      <c r="D45" s="3"/>
      <c r="E45" s="3"/>
      <c r="F45" s="20"/>
      <c r="G45" s="3"/>
      <c r="H45" s="3"/>
      <c r="I45" s="3"/>
      <c r="J45" s="3"/>
      <c r="K45" s="3"/>
      <c r="Q45" s="4"/>
      <c r="R45" s="23"/>
      <c r="S45" s="23"/>
      <c r="T45" s="23"/>
      <c r="U45" s="23"/>
      <c r="V45" s="23"/>
      <c r="W45" s="3"/>
    </row>
    <row r="46" spans="3:23" s="5" customFormat="1" ht="12.75">
      <c r="C46" s="25"/>
      <c r="D46" s="3"/>
      <c r="E46" s="3"/>
      <c r="F46" s="28"/>
      <c r="G46" s="29"/>
      <c r="H46" s="3"/>
      <c r="I46" s="3"/>
      <c r="J46" s="3"/>
      <c r="K46" s="3"/>
      <c r="Q46" s="4"/>
      <c r="R46" s="19"/>
      <c r="S46" s="22"/>
      <c r="T46" s="22"/>
      <c r="U46" s="22"/>
      <c r="V46" s="22"/>
      <c r="W46" s="3"/>
    </row>
    <row r="47" spans="3:23" s="5" customFormat="1" ht="12.75">
      <c r="C47" s="18"/>
      <c r="D47" s="3"/>
      <c r="E47" s="3"/>
      <c r="F47" s="30"/>
      <c r="G47" s="18"/>
      <c r="H47" s="3"/>
      <c r="I47" s="3"/>
      <c r="J47" s="3"/>
      <c r="K47" s="3"/>
      <c r="Q47" s="4"/>
      <c r="R47" s="19"/>
      <c r="S47" s="3"/>
      <c r="T47" s="22"/>
      <c r="U47" s="3"/>
      <c r="V47" s="3"/>
      <c r="W47" s="3"/>
    </row>
    <row r="48" spans="3:23" s="5" customFormat="1" ht="12.75">
      <c r="C48" s="18"/>
      <c r="D48" s="3"/>
      <c r="E48" s="3"/>
      <c r="F48" s="30"/>
      <c r="G48" s="18"/>
      <c r="H48" s="3"/>
      <c r="I48" s="3"/>
      <c r="J48" s="3"/>
      <c r="K48" s="3"/>
      <c r="Q48" s="20"/>
      <c r="R48" s="3"/>
      <c r="S48" s="3"/>
      <c r="T48" s="3"/>
      <c r="U48" s="3"/>
      <c r="V48" s="3"/>
      <c r="W48" s="3"/>
    </row>
    <row r="49" spans="3:23" s="5" customFormat="1" ht="12.75">
      <c r="C49" s="18"/>
      <c r="D49" s="3"/>
      <c r="E49" s="3"/>
      <c r="F49" s="30"/>
      <c r="G49" s="18"/>
      <c r="H49" s="3"/>
      <c r="I49" s="3"/>
      <c r="J49" s="3"/>
      <c r="K49" s="3"/>
      <c r="Q49" s="20"/>
      <c r="R49" s="3"/>
      <c r="S49" s="3"/>
      <c r="T49" s="3"/>
      <c r="U49" s="3"/>
      <c r="V49" s="3"/>
      <c r="W49" s="3"/>
    </row>
    <row r="50" spans="3:23" s="5" customFormat="1" ht="12.75">
      <c r="C50" s="18"/>
      <c r="D50" s="3"/>
      <c r="E50" s="3"/>
      <c r="F50" s="30"/>
      <c r="G50" s="18"/>
      <c r="H50" s="3"/>
      <c r="I50" s="3"/>
      <c r="J50" s="3"/>
      <c r="K50" s="3"/>
      <c r="Q50" s="28"/>
      <c r="R50" s="29"/>
      <c r="S50" s="3"/>
      <c r="T50" s="3"/>
      <c r="U50" s="3"/>
      <c r="V50" s="3"/>
      <c r="W50" s="3"/>
    </row>
    <row r="51" spans="2:23" s="5" customFormat="1" ht="12.75">
      <c r="B51" s="4"/>
      <c r="C51" s="19"/>
      <c r="D51" s="23"/>
      <c r="E51" s="23"/>
      <c r="F51" s="30"/>
      <c r="G51" s="18"/>
      <c r="H51" s="3"/>
      <c r="I51" s="3"/>
      <c r="J51" s="3"/>
      <c r="K51" s="3"/>
      <c r="Q51" s="30"/>
      <c r="R51" s="18"/>
      <c r="S51" s="3"/>
      <c r="T51" s="3"/>
      <c r="U51" s="3"/>
      <c r="V51" s="3"/>
      <c r="W51" s="3"/>
    </row>
    <row r="52" spans="6:23" s="5" customFormat="1" ht="12.75">
      <c r="F52" s="27"/>
      <c r="G52" s="3"/>
      <c r="H52" s="3"/>
      <c r="I52" s="3"/>
      <c r="J52" s="3"/>
      <c r="K52" s="3"/>
      <c r="Q52" s="30"/>
      <c r="R52" s="18"/>
      <c r="S52" s="3"/>
      <c r="T52" s="3"/>
      <c r="U52" s="3"/>
      <c r="V52" s="3"/>
      <c r="W52" s="3"/>
    </row>
    <row r="53" spans="7:23" s="5" customFormat="1" ht="12.75">
      <c r="G53" s="18"/>
      <c r="H53" s="3"/>
      <c r="I53" s="3"/>
      <c r="J53" s="3"/>
      <c r="K53" s="3"/>
      <c r="Q53" s="30"/>
      <c r="R53" s="18"/>
      <c r="S53" s="3"/>
      <c r="T53" s="3"/>
      <c r="U53" s="3"/>
      <c r="V53" s="3"/>
      <c r="W53" s="3"/>
    </row>
    <row r="54" spans="7:23" s="5" customFormat="1" ht="12.75">
      <c r="G54" s="18"/>
      <c r="H54" s="3"/>
      <c r="I54" s="3"/>
      <c r="J54" s="3"/>
      <c r="K54" s="3"/>
      <c r="Q54" s="30"/>
      <c r="R54" s="18"/>
      <c r="S54" s="3"/>
      <c r="T54" s="3"/>
      <c r="U54" s="3"/>
      <c r="V54" s="3"/>
      <c r="W54" s="3"/>
    </row>
    <row r="55" spans="6:25" ht="12.75">
      <c r="F55" s="5"/>
      <c r="G55" s="18"/>
      <c r="H55" s="3"/>
      <c r="I55" s="3"/>
      <c r="J55" s="3"/>
      <c r="K55" s="3"/>
      <c r="P55" s="5"/>
      <c r="Q55" s="30"/>
      <c r="R55" s="18"/>
      <c r="S55" s="3"/>
      <c r="T55" s="3"/>
      <c r="U55" s="3"/>
      <c r="V55" s="3"/>
      <c r="W55" s="3"/>
      <c r="X55" s="5"/>
      <c r="Y55" s="5"/>
    </row>
    <row r="56" spans="6:25" ht="12.75">
      <c r="F56" s="5"/>
      <c r="G56" s="5"/>
      <c r="H56" s="5"/>
      <c r="I56" s="5"/>
      <c r="J56" s="3"/>
      <c r="K56" s="3"/>
      <c r="P56" s="5"/>
      <c r="Q56" s="27"/>
      <c r="R56" s="3"/>
      <c r="S56" s="3"/>
      <c r="T56" s="3"/>
      <c r="U56" s="3"/>
      <c r="V56" s="3"/>
      <c r="W56" s="3"/>
      <c r="X56" s="5"/>
      <c r="Y56" s="5"/>
    </row>
    <row r="57" spans="9:25" ht="12.75">
      <c r="I57" s="5"/>
      <c r="J57" s="3"/>
      <c r="K57" s="3"/>
      <c r="L57" s="5"/>
      <c r="M57" s="5"/>
      <c r="P57" s="5"/>
      <c r="Q57" s="5"/>
      <c r="R57" s="18"/>
      <c r="S57" s="3"/>
      <c r="T57" s="3"/>
      <c r="U57" s="3"/>
      <c r="V57" s="3"/>
      <c r="W57" s="3"/>
      <c r="X57" s="5"/>
      <c r="Y57" s="5"/>
    </row>
    <row r="58" spans="9:25" ht="12.75">
      <c r="I58" s="5"/>
      <c r="J58" s="5"/>
      <c r="K58" s="5"/>
      <c r="L58" s="5"/>
      <c r="M58" s="5"/>
      <c r="P58" s="5"/>
      <c r="Q58" s="5"/>
      <c r="R58" s="18"/>
      <c r="S58" s="3"/>
      <c r="T58" s="3"/>
      <c r="U58" s="3"/>
      <c r="V58" s="3"/>
      <c r="W58" s="3"/>
      <c r="X58" s="5"/>
      <c r="Y58" s="5"/>
    </row>
    <row r="59" spans="9:25" ht="12.75">
      <c r="I59" s="5"/>
      <c r="J59" s="5"/>
      <c r="K59" s="5"/>
      <c r="L59" s="5"/>
      <c r="M59" s="5"/>
      <c r="P59" s="5"/>
      <c r="Q59" s="5"/>
      <c r="R59" s="18"/>
      <c r="S59" s="3"/>
      <c r="T59" s="3"/>
      <c r="U59" s="3"/>
      <c r="V59" s="3"/>
      <c r="W59" s="3"/>
      <c r="X59" s="5"/>
      <c r="Y59" s="5"/>
    </row>
    <row r="60" spans="16:25" ht="12.7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6:25" ht="12.7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6:25" ht="12.7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6:25" ht="12.7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6:25" ht="12.7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/>
  <mergeCells count="3">
    <mergeCell ref="B2:F2"/>
    <mergeCell ref="Q12:W13"/>
    <mergeCell ref="F10:K1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Dekanát 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Kuzmová</dc:creator>
  <cp:keywords/>
  <dc:description/>
  <cp:lastModifiedBy>Kuzmova</cp:lastModifiedBy>
  <cp:lastPrinted>2017-10-06T13:17:45Z</cp:lastPrinted>
  <dcterms:created xsi:type="dcterms:W3CDTF">2007-10-12T06:13:55Z</dcterms:created>
  <dcterms:modified xsi:type="dcterms:W3CDTF">2017-10-06T13:26:33Z</dcterms:modified>
  <cp:category/>
  <cp:version/>
  <cp:contentType/>
  <cp:contentStatus/>
</cp:coreProperties>
</file>